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drawings/drawing6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7.xml" ContentType="application/vnd.openxmlformats-officedocument.drawing+xml"/>
  <Override PartName="/xl/tables/table12.xml" ContentType="application/vnd.openxmlformats-officedocument.spreadsheetml.table+xml"/>
  <Override PartName="/xl/drawings/drawing8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9.xml" ContentType="application/vnd.openxmlformats-officedocument.drawing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10.xml" ContentType="application/vnd.openxmlformats-officedocument.drawing+xml"/>
  <Override PartName="/xl/tables/table17.xml" ContentType="application/vnd.openxmlformats-officedocument.spreadsheetml.table+xml"/>
  <Override PartName="/xl/drawings/drawing11.xml" ContentType="application/vnd.openxmlformats-officedocument.drawing+xml"/>
  <Override PartName="/xl/tables/table18.xml" ContentType="application/vnd.openxmlformats-officedocument.spreadsheetml.table+xml"/>
  <Override PartName="/xl/drawings/drawing12.xml" ContentType="application/vnd.openxmlformats-officedocument.drawing+xml"/>
  <Override PartName="/xl/tables/table19.xml" ContentType="application/vnd.openxmlformats-officedocument.spreadsheetml.table+xml"/>
  <Override PartName="/xl/drawings/drawing13.xml" ContentType="application/vnd.openxmlformats-officedocument.drawing+xml"/>
  <Override PartName="/xl/tables/table2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\\madricpd2fs00\datos\Proyectos\3055320-DIGITALIZACION SGPAGR\02_DIGITALIZACIÓN DE LA INFORMACIÓN DE VERTIDOS\PGRAR USO URBANO WEB\"/>
    </mc:Choice>
  </mc:AlternateContent>
  <bookViews>
    <workbookView xWindow="-108" yWindow="-108" windowWidth="22020" windowHeight="13176"/>
  </bookViews>
  <sheets>
    <sheet name="Índice" sheetId="23" r:id="rId1"/>
    <sheet name="1.4.Ficha.Resumen" sheetId="53" r:id="rId2"/>
    <sheet name="2.1.Bruta" sheetId="3" r:id="rId3"/>
    <sheet name="2.1.Secundario" sheetId="39" r:id="rId4"/>
    <sheet name="2.1.Depurada" sheetId="40" r:id="rId5"/>
    <sheet name="2.1.Regenerada" sheetId="41" r:id="rId6"/>
    <sheet name="2.1.Det.Clase.Generada" sheetId="6" r:id="rId7"/>
    <sheet name="2.1.Vol" sheetId="27" r:id="rId8"/>
    <sheet name="2.3.PI" sheetId="8" r:id="rId9"/>
    <sheet name="2.5.Uso_Previsto_Clase " sheetId="44" r:id="rId10"/>
    <sheet name="2.6.EntornoAgua" sheetId="17" r:id="rId11"/>
    <sheet name="3.1.ResponsablesRol" sheetId="5" r:id="rId12"/>
    <sheet name="3.1.ResponsablesContact" sheetId="26" r:id="rId13"/>
    <sheet name="4.2.ReqMin" sheetId="9" r:id="rId14"/>
    <sheet name="4.3.Barreras" sheetId="15" r:id="rId15"/>
    <sheet name="4.4.MedidasClase" sheetId="22" r:id="rId16"/>
    <sheet name="5.1.AgenteSalud" sheetId="18" r:id="rId17"/>
    <sheet name="5.2.AgenteAmb" sheetId="20" r:id="rId18"/>
    <sheet name="Aux" sheetId="46" r:id="rId19"/>
    <sheet name="6.0.InstruccionesRiesgos" sheetId="54" r:id="rId20"/>
    <sheet name="6.Eval.Riesgos" sheetId="55" r:id="rId21"/>
    <sheet name="7.ReqAdic" sheetId="21" r:id="rId22"/>
    <sheet name="8.Respuesta.Riesgos" sheetId="56" r:id="rId23"/>
    <sheet name="9.Control" sheetId="52" r:id="rId24"/>
  </sheets>
  <externalReferences>
    <externalReference r:id="rId25"/>
    <externalReference r:id="rId26"/>
    <externalReference r:id="rId27"/>
  </externalReferences>
  <definedNames>
    <definedName name="_xlnm._FilterDatabase" localSheetId="2" hidden="1">'2.1.Bruta'!$N$9:$U$9</definedName>
    <definedName name="_xlnm._FilterDatabase" localSheetId="6" hidden="1">'2.1.Det.Clase.Generada'!$A$10:$F$28</definedName>
    <definedName name="_xlnm._FilterDatabase" localSheetId="20" hidden="1">'6.Eval.Riesgos'!$A$2:$H$11</definedName>
    <definedName name="_xlnm._FilterDatabase" localSheetId="22" hidden="1">'8.Respuesta.Riesgos'!$A$2:$S$5</definedName>
    <definedName name="denominacion_POI" localSheetId="4">T37_POI[Denominación]</definedName>
    <definedName name="denominacion_POI" localSheetId="5">T37_POI[Denominación]</definedName>
    <definedName name="denominacion_POI" localSheetId="3">T37_POI[Denominación]</definedName>
    <definedName name="denominacion_POI" localSheetId="7">T37_POI[Denominación]</definedName>
    <definedName name="denominacion_POI" localSheetId="9">T37_POI[Denominación]</definedName>
    <definedName name="denominacion_POI" localSheetId="19">#REF!</definedName>
    <definedName name="denominacion_POI" localSheetId="20">[1]!T37_POI[Denominación]</definedName>
    <definedName name="denominacion_POI" localSheetId="22">[1]!T37_POI[Denominación]</definedName>
    <definedName name="denominacion_POI" localSheetId="23">T37_POI4[Denominación]</definedName>
    <definedName name="denominacion_POI">T37_POI[Denominación]</definedName>
    <definedName name="NOMBRE_ORGANIZACION" localSheetId="4">T41_Resp_Contact[Nombre de la autoridad competente, gestor de la estación regeneradora, etc.]</definedName>
    <definedName name="NOMBRE_ORGANIZACION" localSheetId="5">T41_Resp_Contact[Nombre de la autoridad competente, gestor de la estación regeneradora, etc.]</definedName>
    <definedName name="NOMBRE_ORGANIZACION" localSheetId="3">T41_Resp_Contact[Nombre de la autoridad competente, gestor de la estación regeneradora, etc.]</definedName>
    <definedName name="NOMBRE_ORGANIZACION" localSheetId="7">T41_Resp_Contact[Nombre de la autoridad competente, gestor de la estación regeneradora, etc.]</definedName>
    <definedName name="NOMBRE_ORGANIZACION" localSheetId="9">T41_Resp_Contact[Nombre de la autoridad competente, gestor de la estación regeneradora, etc.]</definedName>
    <definedName name="NOMBRE_ORGANIZACION" localSheetId="19">#REF!</definedName>
    <definedName name="NOMBRE_ORGANIZACION" localSheetId="20">[1]!T41_Resp_Contact[Nombre de la autoridad competente, gestor de la estación regeneradora, etc.]</definedName>
    <definedName name="NOMBRE_ORGANIZACION" localSheetId="22">[1]!T41_Resp_Contact[Nombre de la autoridad competente, gestor de la estación regeneradora, etc.]</definedName>
    <definedName name="NOMBRE_ORGANIZACION" localSheetId="23">[2]!T41_Resp_Contact[Nombre de la autoridad competente, gestor de la estación regeneradora, etc.]</definedName>
    <definedName name="NOMBRE_ORGANIZACION">T41_Resp_Contact[Nombre de la autoridad competente, gestor de la estación regeneradora, etc.]</definedName>
    <definedName name="ORGANIZACION_ROL" localSheetId="4">T41_Resp_Rol[Organización - Rol]</definedName>
    <definedName name="ORGANIZACION_ROL" localSheetId="5">T41_Resp_Rol[Organización - Rol]</definedName>
    <definedName name="ORGANIZACION_ROL" localSheetId="3">T41_Resp_Rol[Organización - Rol]</definedName>
    <definedName name="ORGANIZACION_ROL" localSheetId="7">T41_Resp_Rol[Organización - Rol]</definedName>
    <definedName name="ORGANIZACION_ROL" localSheetId="9">T41_Resp_Rol[Organización - Rol]</definedName>
    <definedName name="ORGANIZACION_ROL" localSheetId="19">#REF!</definedName>
    <definedName name="ORGANIZACION_ROL" localSheetId="20">[1]!T41_Resp_Rol[Organización - Rol]</definedName>
    <definedName name="ORGANIZACION_ROL" localSheetId="22">[1]!T41_Resp_Rol[Organización - Rol]</definedName>
    <definedName name="ORGANIZACION_ROL" localSheetId="23">[2]!T41_Resp_Rol[Organización - Rol]</definedName>
    <definedName name="ORGANIZACION_ROL">T41_Resp_Rol[Organización - Rol]</definedName>
    <definedName name="PARTES_RESPONSABLES" localSheetId="4">T41_Resp_Rol[Organización - Rol]</definedName>
    <definedName name="PARTES_RESPONSABLES" localSheetId="5">T41_Resp_Rol[Organización - Rol]</definedName>
    <definedName name="PARTES_RESPONSABLES" localSheetId="3">T41_Resp_Rol[Organización - Rol]</definedName>
    <definedName name="PARTES_RESPONSABLES" localSheetId="7">T41_Resp_Rol[Organización - Rol]</definedName>
    <definedName name="PARTES_RESPONSABLES" localSheetId="9">T41_Resp_Rol[Organización - Rol]</definedName>
    <definedName name="PARTES_RESPONSABLES" localSheetId="19">#REF!</definedName>
    <definedName name="PARTES_RESPONSABLES" localSheetId="20">[1]!T41_Resp_Rol[Organización - Rol]</definedName>
    <definedName name="PARTES_RESPONSABLES" localSheetId="22">[1]!T41_Resp_Rol[Organización - Rol]</definedName>
    <definedName name="PARTES_RESPONSABLES" localSheetId="23">[2]!T41_Resp_Rol[Organización - Rol]</definedName>
    <definedName name="PARTES_RESPONSABLES">T41_Resp_Rol[Organización - Rol]</definedName>
    <definedName name="test" localSheetId="19">#REF!</definedName>
    <definedName name="test" localSheetId="20">#REF!</definedName>
    <definedName name="test" localSheetId="22">#REF!</definedName>
    <definedName name="test">#REF!</definedName>
    <definedName name="zona_regable" localSheetId="4">#REF!</definedName>
    <definedName name="zona_regable" localSheetId="5">#REF!</definedName>
    <definedName name="zona_regable" localSheetId="3">#REF!</definedName>
    <definedName name="zona_regable" localSheetId="7">#REF!</definedName>
    <definedName name="zona_regable" localSheetId="9">T34_Cultivo3[Denominación, acorde a las zonas identificadas en la cartografía]</definedName>
    <definedName name="zona_regable" localSheetId="19">#REF!</definedName>
    <definedName name="zona_regable" localSheetId="20">#REF!</definedName>
    <definedName name="zona_regable" localSheetId="22">#REF!</definedName>
    <definedName name="zona_regable" localSheetId="23">#REF!</definedName>
    <definedName name="zona_regable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56" l="1"/>
  <c r="U5" i="56"/>
  <c r="R6" i="56"/>
  <c r="U6" i="56"/>
  <c r="O14" i="55"/>
  <c r="L14" i="55"/>
  <c r="O13" i="55"/>
  <c r="L13" i="55"/>
  <c r="O12" i="55"/>
  <c r="L12" i="55"/>
  <c r="O11" i="55"/>
  <c r="L11" i="55"/>
  <c r="P11" i="55" s="1"/>
  <c r="Q11" i="55" s="1"/>
  <c r="O10" i="55"/>
  <c r="L10" i="55"/>
  <c r="O9" i="55"/>
  <c r="L9" i="55"/>
  <c r="O8" i="55"/>
  <c r="L8" i="55"/>
  <c r="O7" i="55"/>
  <c r="L7" i="55"/>
  <c r="O6" i="55"/>
  <c r="L6" i="55"/>
  <c r="O5" i="55"/>
  <c r="L5" i="55"/>
  <c r="V6" i="56" l="1"/>
  <c r="W6" i="56" s="1"/>
  <c r="V5" i="56"/>
  <c r="W5" i="56" s="1"/>
  <c r="P14" i="55"/>
  <c r="Q14" i="55" s="1"/>
  <c r="P7" i="55"/>
  <c r="Q7" i="55" s="1"/>
  <c r="P13" i="55"/>
  <c r="Q13" i="55" s="1"/>
  <c r="P9" i="55"/>
  <c r="Q9" i="55" s="1"/>
  <c r="P12" i="55"/>
  <c r="Q12" i="55" s="1"/>
  <c r="P8" i="55"/>
  <c r="Q8" i="55" s="1"/>
  <c r="P10" i="55"/>
  <c r="Q10" i="55" s="1"/>
  <c r="P6" i="55"/>
  <c r="Q6" i="55" s="1"/>
  <c r="P5" i="55"/>
  <c r="Q5" i="55" s="1"/>
  <c r="C11" i="5"/>
  <c r="C10" i="5"/>
  <c r="I7" i="52" l="1"/>
  <c r="I8" i="52"/>
  <c r="I6" i="52"/>
  <c r="A7" i="52"/>
  <c r="B7" i="52"/>
  <c r="C7" i="52"/>
  <c r="A8" i="52"/>
  <c r="B8" i="52"/>
  <c r="C8" i="52"/>
  <c r="B6" i="52"/>
  <c r="C6" i="52"/>
  <c r="A6" i="52"/>
  <c r="D55" i="8"/>
  <c r="C13" i="5" l="1"/>
  <c r="C14" i="5"/>
  <c r="U10" i="41" l="1"/>
  <c r="T10" i="41"/>
  <c r="S10" i="41"/>
  <c r="R10" i="41"/>
  <c r="Q10" i="41"/>
  <c r="P10" i="41"/>
  <c r="O10" i="41"/>
  <c r="N10" i="41"/>
  <c r="U8" i="41"/>
  <c r="T8" i="41"/>
  <c r="S8" i="41"/>
  <c r="R8" i="41"/>
  <c r="Q8" i="41"/>
  <c r="P8" i="41"/>
  <c r="O8" i="41"/>
  <c r="N8" i="41"/>
  <c r="M8" i="41"/>
  <c r="L8" i="41"/>
  <c r="K8" i="41"/>
  <c r="I8" i="41"/>
  <c r="H8" i="41"/>
  <c r="F8" i="41"/>
  <c r="E8" i="41"/>
  <c r="D8" i="41"/>
  <c r="U10" i="40"/>
  <c r="T10" i="40"/>
  <c r="S10" i="40"/>
  <c r="R10" i="40"/>
  <c r="Q10" i="40"/>
  <c r="P10" i="40"/>
  <c r="O10" i="40"/>
  <c r="N10" i="40"/>
  <c r="U8" i="40"/>
  <c r="T8" i="40"/>
  <c r="S8" i="40"/>
  <c r="R8" i="40"/>
  <c r="Q8" i="40"/>
  <c r="P8" i="40"/>
  <c r="O8" i="40"/>
  <c r="N8" i="40"/>
  <c r="K8" i="40"/>
  <c r="I8" i="40"/>
  <c r="H8" i="40"/>
  <c r="F8" i="40"/>
  <c r="E8" i="40"/>
  <c r="D8" i="40"/>
  <c r="U10" i="39"/>
  <c r="T10" i="39"/>
  <c r="S10" i="39"/>
  <c r="R10" i="39"/>
  <c r="Q10" i="39"/>
  <c r="P10" i="39"/>
  <c r="O10" i="39"/>
  <c r="N10" i="39"/>
  <c r="U8" i="39"/>
  <c r="T8" i="39"/>
  <c r="S8" i="39"/>
  <c r="R8" i="39"/>
  <c r="Q8" i="39"/>
  <c r="P8" i="39"/>
  <c r="O8" i="39"/>
  <c r="N8" i="39"/>
  <c r="M8" i="39"/>
  <c r="L8" i="39"/>
  <c r="K8" i="39"/>
  <c r="I8" i="39"/>
  <c r="H8" i="39"/>
  <c r="F8" i="39"/>
  <c r="E8" i="39"/>
  <c r="D8" i="39"/>
  <c r="D8" i="3"/>
  <c r="N8" i="3" l="1"/>
  <c r="O8" i="3"/>
  <c r="P8" i="3"/>
  <c r="Q8" i="3"/>
  <c r="R8" i="3"/>
  <c r="S8" i="3"/>
  <c r="T8" i="3"/>
  <c r="U8" i="3"/>
  <c r="I8" i="3"/>
  <c r="K8" i="3"/>
  <c r="L8" i="3"/>
  <c r="M8" i="3"/>
  <c r="D8" i="27" l="1"/>
  <c r="C8" i="27"/>
  <c r="C6" i="5" l="1"/>
  <c r="C7" i="5"/>
  <c r="C8" i="5"/>
  <c r="C9" i="5"/>
  <c r="C12" i="5"/>
  <c r="E8" i="3" l="1"/>
  <c r="H8" i="3"/>
</calcChain>
</file>

<file path=xl/sharedStrings.xml><?xml version="1.0" encoding="utf-8"?>
<sst xmlns="http://schemas.openxmlformats.org/spreadsheetml/2006/main" count="778" uniqueCount="474">
  <si>
    <t>Fecha</t>
  </si>
  <si>
    <t>Nombre de la organización</t>
  </si>
  <si>
    <t>Rol</t>
  </si>
  <si>
    <t>Teléfono</t>
  </si>
  <si>
    <t>Ciudad</t>
  </si>
  <si>
    <t>Código postal</t>
  </si>
  <si>
    <t>Correo electrónico</t>
  </si>
  <si>
    <t>Enlace a la web</t>
  </si>
  <si>
    <t>Nombre de la ciudad donde se encuentra la organización</t>
  </si>
  <si>
    <t>Código postal único</t>
  </si>
  <si>
    <t>AÑO</t>
  </si>
  <si>
    <t>CLASE</t>
  </si>
  <si>
    <t>Operador instalación de regeneración</t>
  </si>
  <si>
    <t>Operador distribución</t>
  </si>
  <si>
    <t>Operador almacenamiento</t>
  </si>
  <si>
    <t>Volumen anual</t>
  </si>
  <si>
    <t>Promedio</t>
  </si>
  <si>
    <t>(POI) PUNTOS DE INTERÉS</t>
  </si>
  <si>
    <t>Denominación</t>
  </si>
  <si>
    <t>Descripción</t>
  </si>
  <si>
    <t>X</t>
  </si>
  <si>
    <t>Y</t>
  </si>
  <si>
    <t>Frecuencia de muestreo</t>
  </si>
  <si>
    <t>En el punto</t>
  </si>
  <si>
    <t>Aguas abajo del punto</t>
  </si>
  <si>
    <t>Clase de calidad del agua</t>
  </si>
  <si>
    <t>Valor umbral</t>
  </si>
  <si>
    <t>Unidad de medida</t>
  </si>
  <si>
    <t>Nombre del parámetro</t>
  </si>
  <si>
    <t>A seleccionar del desplegable: parámetros a muestrear en el punto de cumplimiento</t>
  </si>
  <si>
    <t>ZONA REGABLE</t>
  </si>
  <si>
    <t>Seleccionar del desplegable</t>
  </si>
  <si>
    <t>Parte del sistema</t>
  </si>
  <si>
    <t>REDUCCIÓN LOGARÍTMICA DEL PATÓGENO</t>
  </si>
  <si>
    <t>REQUISITOS ADICIONALES</t>
  </si>
  <si>
    <t>REQUISITOS MÍNIMOS EN EL PUNTO DE CUMPLIMIENTO</t>
  </si>
  <si>
    <t>Clase de calidad del agua generada</t>
  </si>
  <si>
    <t>REQUISITOS DE CALIDAD Y MONITORIZACIÓN</t>
  </si>
  <si>
    <t>PARTES RESPONSABLES</t>
  </si>
  <si>
    <t>CLASE GENERADA</t>
  </si>
  <si>
    <t>CLASE REQUERIDA</t>
  </si>
  <si>
    <t>NÚMERO DE BARRERAS NECESARIAS</t>
  </si>
  <si>
    <t>JUSTIFICACIÓN</t>
  </si>
  <si>
    <t>PARTE RESPONSABLE</t>
  </si>
  <si>
    <t>PARTE DEL SISTEMA</t>
  </si>
  <si>
    <t>Observaciones</t>
  </si>
  <si>
    <t>Otros</t>
  </si>
  <si>
    <t>OBSERVACIONES</t>
  </si>
  <si>
    <t>Número de teléfono con el código del país (+34).</t>
  </si>
  <si>
    <t>Operador instalación de depuración</t>
  </si>
  <si>
    <t>Responsabilidad</t>
  </si>
  <si>
    <t>DETALLES</t>
  </si>
  <si>
    <t>Describir detalles o descripción de la barrera en este caso concreto</t>
  </si>
  <si>
    <t>MASAS DE AGUA</t>
  </si>
  <si>
    <t>Descripción de parte del sistema</t>
  </si>
  <si>
    <t>Concentración en agua residual (o inferior a límite de cuantificación)</t>
  </si>
  <si>
    <t>Boro</t>
  </si>
  <si>
    <t>Sodio</t>
  </si>
  <si>
    <t>Fecha de la analítica</t>
  </si>
  <si>
    <t>Justificación de inclusión/exclusión como agente peligroso</t>
  </si>
  <si>
    <t>AGENTES PELIGROSOS. RIESGOS AMBIENTALES.</t>
  </si>
  <si>
    <t>Si se dispone de analíticas</t>
  </si>
  <si>
    <t>si/no</t>
  </si>
  <si>
    <t>(opcional)</t>
  </si>
  <si>
    <t xml:space="preserve">Ej. registro de analíticas acredita su ausencia, no existe retorno que pueda afectar a agua superficial, etc. </t>
  </si>
  <si>
    <t>SUPERFICIE</t>
  </si>
  <si>
    <t>Hectáreas</t>
  </si>
  <si>
    <t>Denominación, acorde a las zonas identificadas en la cartografía</t>
  </si>
  <si>
    <t>Barrera nº</t>
  </si>
  <si>
    <t>Asignar un número o código a la barrera</t>
  </si>
  <si>
    <t>Coordenadas UTM-ETRS89
(h30)</t>
  </si>
  <si>
    <t>CALIDAD CUMPLIDA POR EL PARÁMETRO E.COLI</t>
  </si>
  <si>
    <t>Campo opcional</t>
  </si>
  <si>
    <t>Medida nº</t>
  </si>
  <si>
    <t>CALIDAD SEGÚN SÓLIDOS EN SUSPENSIÓN</t>
  </si>
  <si>
    <t>CALIDAD SEGÚN TURBIDEZ</t>
  </si>
  <si>
    <t>DESCRIPCIÓN DE LA MEDIDA</t>
  </si>
  <si>
    <t xml:space="preserve">En qué consiste la medida y acreditación de que es capaz de reducir la concentración. Indicar si hay punto de control a lo largo del sistema en el que se va a corroborar esta disminución. </t>
  </si>
  <si>
    <t>Asignar un número o código a la medida</t>
  </si>
  <si>
    <t>Estado químico</t>
  </si>
  <si>
    <t>CRITERIOS</t>
  </si>
  <si>
    <t>Desv. Máx</t>
  </si>
  <si>
    <t>DBO5</t>
  </si>
  <si>
    <t>SS</t>
  </si>
  <si>
    <t>Turbidez</t>
  </si>
  <si>
    <t>Legionella</t>
  </si>
  <si>
    <t>Nemátodos</t>
  </si>
  <si>
    <t>CLASE TOTAL</t>
  </si>
  <si>
    <t xml:space="preserve"> -</t>
  </si>
  <si>
    <t>PARÁMETROS</t>
  </si>
  <si>
    <t>Justificación de inclusión/exclusión como indicador de agente peligroso</t>
  </si>
  <si>
    <t>¿Incluir este agente peligroso?</t>
  </si>
  <si>
    <t>E.coli</t>
  </si>
  <si>
    <t xml:space="preserve">Ej. puede estar presente pero se utiliza como indicador "E.coli" </t>
  </si>
  <si>
    <t>Superficial o subterránea</t>
  </si>
  <si>
    <t>Figura de protección 1</t>
  </si>
  <si>
    <t>Figura de protección 2</t>
  </si>
  <si>
    <t>Figura de protección 3</t>
  </si>
  <si>
    <t>Figura de protección 4</t>
  </si>
  <si>
    <t>Figura de protección 5</t>
  </si>
  <si>
    <t>Figura de protección 6</t>
  </si>
  <si>
    <t>Código-nombre masa de agua</t>
  </si>
  <si>
    <t>CodDEM</t>
  </si>
  <si>
    <t>Plazo en el que pueden generarse los efectos</t>
  </si>
  <si>
    <t>Inicio periodo de muestreo dd/mm/aaaa</t>
  </si>
  <si>
    <t>Fin periodo de muestreo dd/mm/aaaa</t>
  </si>
  <si>
    <t>Caudal máximo instantáneo agua regenerada (l/s)</t>
  </si>
  <si>
    <t xml:space="preserve">Estado químico </t>
  </si>
  <si>
    <t>Figuras de protección 1: tipo</t>
  </si>
  <si>
    <t>Nombre figura de protección 1</t>
  </si>
  <si>
    <t>Parámetro a considerar (agente peligroso) fig protec 1</t>
  </si>
  <si>
    <t>Figuras de protección 2: tipo</t>
  </si>
  <si>
    <t>Nombre figura de protección 2</t>
  </si>
  <si>
    <t>Parámetro a considerar (agente peligroso) fig protec 3</t>
  </si>
  <si>
    <t>Figuras de protección 3: tipo</t>
  </si>
  <si>
    <t>Nombre figura de protección 3</t>
  </si>
  <si>
    <t>Parámetro a considerar (agente peligroso) fig protec 2</t>
  </si>
  <si>
    <t>Figuras de protección 4: tipo</t>
  </si>
  <si>
    <t>Nombre figura de protección 4</t>
  </si>
  <si>
    <t>Parámetro a considerar (agente peligroso) fig protec 4</t>
  </si>
  <si>
    <t>Nombre figura de protección 5</t>
  </si>
  <si>
    <t>Parámetro a considerar (agente peligroso) fig protec 5</t>
  </si>
  <si>
    <t>Figuras de protección 6: tipo</t>
  </si>
  <si>
    <t>Nombre figura de protección 6</t>
  </si>
  <si>
    <t>Parámetro a considerar (agente peligroso) fig protec 6</t>
  </si>
  <si>
    <t>Figuras de protección 5: tipo</t>
  </si>
  <si>
    <t>correo-e</t>
  </si>
  <si>
    <t>web</t>
  </si>
  <si>
    <t>mg/L</t>
  </si>
  <si>
    <t>Período del año durante el cual se realizará el muestreo</t>
  </si>
  <si>
    <t>Descripción adicional (opcional)</t>
  </si>
  <si>
    <t>Índice de incumplimiento (parámetro o agente peligroso) #</t>
  </si>
  <si>
    <t xml:space="preserve">Índice de incumplimiento (parámetro o agente peligroso) #  </t>
  </si>
  <si>
    <t>DATOS DE CONTACTO</t>
  </si>
  <si>
    <t>BARRERA SELECCIONADA 
(No acreditada)</t>
  </si>
  <si>
    <t>Organización - Rol</t>
  </si>
  <si>
    <t>Nombre del parámetro
(en caso de otros)</t>
  </si>
  <si>
    <t>Describir las responsabilidades que ejerce.</t>
  </si>
  <si>
    <t xml:space="preserve">Seleccionar del desplegable </t>
  </si>
  <si>
    <t>En caso de infiltración a masa de agua subterránea</t>
  </si>
  <si>
    <t>En caso de retornos a masa de agua superficial</t>
  </si>
  <si>
    <t>Coordenadas punto de retorno a m.a. superficial UTM-ETRS89 (h30)</t>
  </si>
  <si>
    <t xml:space="preserve">BARRERAS </t>
  </si>
  <si>
    <t>MEDIDAS PARA MEJORA DE CLASE</t>
  </si>
  <si>
    <t>Efectos que el agente puede producir sobre el receptor medioambiental (suelo, cultivo, m.a. sup, m.a. subt)</t>
  </si>
  <si>
    <t xml:space="preserve">Fecha de la analítica </t>
  </si>
  <si>
    <t>dd/mm/aaaa</t>
  </si>
  <si>
    <t>(dd/mm/aaaa)</t>
  </si>
  <si>
    <t>Bacteriofagos</t>
  </si>
  <si>
    <t>Cloruros</t>
  </si>
  <si>
    <t>UFC/100 mL</t>
  </si>
  <si>
    <t>mg O2/L</t>
  </si>
  <si>
    <t>DQO</t>
  </si>
  <si>
    <t>Escherichia coli</t>
  </si>
  <si>
    <t>Fósforo total</t>
  </si>
  <si>
    <t>mg P/L</t>
  </si>
  <si>
    <t>UFC/L</t>
  </si>
  <si>
    <t>Nematodos intestinales</t>
  </si>
  <si>
    <t>huevo/10 L</t>
  </si>
  <si>
    <t>Nitrógeno total</t>
  </si>
  <si>
    <t>mg N/L</t>
  </si>
  <si>
    <t>Otros contaminantes inorgánicos adsorbibles</t>
  </si>
  <si>
    <t>Otros residuos de la desinfección del cloro</t>
  </si>
  <si>
    <t>Sólidos en suspensión</t>
  </si>
  <si>
    <t>UNT</t>
  </si>
  <si>
    <t>Frecuencia</t>
  </si>
  <si>
    <t>Frecuencia de muestreo en caso de seleccionar "otro"</t>
  </si>
  <si>
    <t>Parámetros adicionales (En caso de "otros")</t>
  </si>
  <si>
    <t>Parámetros adicionales</t>
  </si>
  <si>
    <t>RESUMEN:</t>
  </si>
  <si>
    <t xml:space="preserve"> </t>
  </si>
  <si>
    <t>Si dispone de datos mensuales, rellene esta tabla (celdas amarillas):</t>
  </si>
  <si>
    <t>Parámetros Directiva 91/271/CEE</t>
  </si>
  <si>
    <t>Si solo dispone del dato anual, rellene esta tabla (celdas amarillas):</t>
  </si>
  <si>
    <t>CARACTERIZACIÓN DEL AGUA BRUTA</t>
  </si>
  <si>
    <t>CARACTERIZACIÓN CUANTITATIVA. AGUA REGENERADA.</t>
  </si>
  <si>
    <t>Patógeno de referencia</t>
  </si>
  <si>
    <t>Grupo</t>
  </si>
  <si>
    <t>Bacterias</t>
  </si>
  <si>
    <t>E. coli</t>
  </si>
  <si>
    <t>Helmintos</t>
  </si>
  <si>
    <t>Descripción de efectos que el agente puede producir sobre las personas</t>
  </si>
  <si>
    <r>
      <t xml:space="preserve">AGENTE PELIGROSO 
</t>
    </r>
    <r>
      <rPr>
        <i/>
        <sz val="10"/>
        <color theme="1"/>
        <rFont val="Arial Narrow"/>
        <family val="2"/>
      </rPr>
      <t>(cuadro 2.8 Directrices para apoyar la aplicación del Reglamento 2020/741)</t>
    </r>
  </si>
  <si>
    <r>
      <t xml:space="preserve">Descripción de su ubicación
</t>
    </r>
    <r>
      <rPr>
        <i/>
        <sz val="10"/>
        <color theme="0"/>
        <rFont val="Arial Narrow"/>
        <family val="2"/>
      </rPr>
      <t>(ej. última arqueta dentro de la ERA; arqueta a la salida de la ERA…)</t>
    </r>
  </si>
  <si>
    <r>
      <t xml:space="preserve">Estado ecológico 
</t>
    </r>
    <r>
      <rPr>
        <sz val="10"/>
        <rFont val="Arial Narrow"/>
        <family val="2"/>
      </rPr>
      <t>(m.a. naturales)</t>
    </r>
  </si>
  <si>
    <r>
      <t xml:space="preserve">Potencial ecológico
</t>
    </r>
    <r>
      <rPr>
        <sz val="10"/>
        <rFont val="Arial Narrow"/>
        <family val="2"/>
      </rPr>
      <t>(m.a. modificadas)</t>
    </r>
  </si>
  <si>
    <r>
      <t xml:space="preserve">OBSERVACIONES 
</t>
    </r>
    <r>
      <rPr>
        <i/>
        <sz val="10"/>
        <color theme="0"/>
        <rFont val="Arial Narrow"/>
        <family val="2"/>
      </rPr>
      <t>(Si dato anómalo, explicar motivos y medidas que se adoptaron)</t>
    </r>
  </si>
  <si>
    <t>Campo opcional. Puede describir también el procedimiento de plantación y cosecha, periodos, etc.</t>
  </si>
  <si>
    <t>Columna1</t>
  </si>
  <si>
    <t>Columna2</t>
  </si>
  <si>
    <t>Columna3</t>
  </si>
  <si>
    <t>Columna4</t>
  </si>
  <si>
    <t>Columna5</t>
  </si>
  <si>
    <t>Turbidez in situ</t>
  </si>
  <si>
    <t>Columna6</t>
  </si>
  <si>
    <t>Columna7</t>
  </si>
  <si>
    <t>Columna8</t>
  </si>
  <si>
    <t>Otros parámetros (autorización de vertido y agentes peligrosos determinados en el PGRAR)
(Seleccionar del desplegable celdas amarillo oscuro)</t>
  </si>
  <si>
    <t>CARACTERIZACIÓN A LA SALIDA DEL SECUNDARIO</t>
  </si>
  <si>
    <t>CARACTERIZACIÓN AGUA DEPURADA</t>
  </si>
  <si>
    <r>
      <t>Volumen tratado (m</t>
    </r>
    <r>
      <rPr>
        <b/>
        <vertAlign val="superscript"/>
        <sz val="10"/>
        <color theme="0"/>
        <rFont val="Arial Narrow"/>
        <family val="2"/>
      </rPr>
      <t>3</t>
    </r>
    <r>
      <rPr>
        <b/>
        <sz val="10"/>
        <color theme="0"/>
        <rFont val="Arial Narrow"/>
        <family val="2"/>
      </rPr>
      <t>/año)</t>
    </r>
  </si>
  <si>
    <t>DETERMINACIÓN DE LA CLASE PRODUCIDA</t>
  </si>
  <si>
    <r>
      <t xml:space="preserve">Fecha 
</t>
    </r>
    <r>
      <rPr>
        <b/>
        <sz val="10"/>
        <color rgb="FFFF0000"/>
        <rFont val="Arial Narrow"/>
        <family val="2"/>
      </rPr>
      <t>(introducir mensuales o valores puntuales de muestreo)</t>
    </r>
  </si>
  <si>
    <r>
      <t xml:space="preserve">Posibles efectos
</t>
    </r>
    <r>
      <rPr>
        <i/>
        <sz val="10"/>
        <color theme="1"/>
        <rFont val="Arial Narrow"/>
        <family val="2"/>
      </rPr>
      <t>(Obligatorio rellenar si son distintas a las del cuadro 2.8 Directrices para apoyar la aplicación del Reglamento 2020/741</t>
    </r>
    <r>
      <rPr>
        <b/>
        <sz val="10"/>
        <color theme="1"/>
        <rFont val="Arial Narrow"/>
        <family val="2"/>
      </rPr>
      <t>)</t>
    </r>
  </si>
  <si>
    <t>Responsable
(Para poder seleccionar del desplegable, será necesario rellenar primero el nombre de la organización en la hoja  4.1.ResponsablesContact)</t>
  </si>
  <si>
    <t>Columna9</t>
  </si>
  <si>
    <t>Columna10</t>
  </si>
  <si>
    <t>Parámetros tabla I-1 del anexo I.1 del Reglamento de reutilización del agua.</t>
  </si>
  <si>
    <t>Volumen uso urbano (m³/año)</t>
  </si>
  <si>
    <r>
      <t>Volumen regenerado (m</t>
    </r>
    <r>
      <rPr>
        <b/>
        <vertAlign val="superscript"/>
        <sz val="10"/>
        <color theme="0"/>
        <rFont val="Arial Narrow"/>
        <family val="2"/>
      </rPr>
      <t>3</t>
    </r>
    <r>
      <rPr>
        <b/>
        <sz val="10"/>
        <color theme="0"/>
        <rFont val="Arial Narrow"/>
        <family val="2"/>
      </rPr>
      <t>/año)</t>
    </r>
  </si>
  <si>
    <t>CLASE REQUERIDA SEGÚN USO</t>
  </si>
  <si>
    <t>USO PREVISTO. CLASE REQUERIDA</t>
  </si>
  <si>
    <t>ZONA DE USO</t>
  </si>
  <si>
    <t>Nombre de la autoridad competente, gestor de la estación regeneradora, etc.</t>
  </si>
  <si>
    <t>Detalle de la zona o elemento sobre el que ejerce su responsabilidad. Ej.Balsa Nombre X, todas las balsas, zona de riego 1 y 2, etc.</t>
  </si>
  <si>
    <t>Título habilitante requerido</t>
  </si>
  <si>
    <t>Autorización requerida, concesión requerida con ref del expediente.</t>
  </si>
  <si>
    <t>Usuario</t>
  </si>
  <si>
    <t xml:space="preserve">AGENTE PELIGROSO 
</t>
  </si>
  <si>
    <t>Patógeno de referencia en caso de "Otros"</t>
  </si>
  <si>
    <t>Denominación del punto según hoja PI</t>
  </si>
  <si>
    <t>A seleccionar del desplegable:  Clase de calidad del agua, anexo I Reglamento de reutilización del agua</t>
  </si>
  <si>
    <t>Indicar el valor que no deberá superarse para el parámetro descrito en el punto (PI) seleccionado</t>
  </si>
  <si>
    <r>
      <t>BARRERAS ACREDITADAS PARA REDUCCIÓN DE PATÓGENOS</t>
    </r>
    <r>
      <rPr>
        <sz val="10"/>
        <color theme="1"/>
        <rFont val="Arial Narrow"/>
        <family val="2"/>
      </rPr>
      <t xml:space="preserve"> 
En caso de que la clase generada sea de peor calidad (en cuanto a patógenos) que la clase requerida por una determinada zona regable, deben definirse las barreras para obtener una "clase mejorada" y poder proceder a un riego seguro.</t>
    </r>
  </si>
  <si>
    <r>
      <t>MEDIDAS PARA MEJORA DE LA CLASE:  SS, TURBIDEZ</t>
    </r>
    <r>
      <rPr>
        <sz val="10"/>
        <color theme="1"/>
        <rFont val="Arial Narrow"/>
        <family val="2"/>
      </rPr>
      <t xml:space="preserve">
En caso de que la clase generada sea de peor calidad (en cuanto a  SS, turbidez) que la clase requerida , deben definirse las medidas para obtener una "clase mejorada" y poder proceder a un uso seguro.</t>
    </r>
  </si>
  <si>
    <t xml:space="preserve">(U.A+, U.A,U. B, U.C) </t>
  </si>
  <si>
    <t>UFP/100 mL</t>
  </si>
  <si>
    <t>Roles</t>
  </si>
  <si>
    <t>Agentes peligrosos ambientales</t>
  </si>
  <si>
    <t>EDAR</t>
  </si>
  <si>
    <t>ERA</t>
  </si>
  <si>
    <t>DISTRIBUCIÓN</t>
  </si>
  <si>
    <t>Etapa donde se produce el suceso</t>
  </si>
  <si>
    <t>USO</t>
  </si>
  <si>
    <t>Tipo de riesgo</t>
  </si>
  <si>
    <t>sanitario</t>
  </si>
  <si>
    <t>ambiental</t>
  </si>
  <si>
    <t>Debe haber rellenado la hoja 3.1.ResponsablesContact para poder acceder al desplegable.</t>
  </si>
  <si>
    <t>(Para poder seleccionar del desplegable, será necesario rellenar primero la hoja  3.1.PartesResponsablesRol)</t>
  </si>
  <si>
    <t>Identificación según plantilla 2.5</t>
  </si>
  <si>
    <t>(U.A+, U.A, U.B.,U.C) 
Según plantilla 2.5.</t>
  </si>
  <si>
    <t>BARRERA SELECCIONADA
 (ACREDITADA)</t>
  </si>
  <si>
    <t xml:space="preserve">Si hay varias barreras hacia una misma zona de uso, utilizar varias líneas.
</t>
  </si>
  <si>
    <t>Al no estar acreditada , deberá justificarse su efectividad.</t>
  </si>
  <si>
    <t xml:space="preserve">
Para las barreras que tengan establecido un rango de reduc. logarítmica, justificar el valor seleccionado</t>
  </si>
  <si>
    <t>(Para poder seleccionar del desplegable, será necesario rellenar primero la hoja de 3.1.ResponsablesRol)</t>
  </si>
  <si>
    <t>Previa a la depuración</t>
  </si>
  <si>
    <t>Depuración</t>
  </si>
  <si>
    <t>Regeneración</t>
  </si>
  <si>
    <t>Distribución</t>
  </si>
  <si>
    <t>Zona de uso</t>
  </si>
  <si>
    <t>Almacenamiento</t>
  </si>
  <si>
    <t>CALIDAD CUMPLIDA POR EL PARÁMETRO NEMATODOS</t>
  </si>
  <si>
    <t xml:space="preserve">CALIDAD CUMPLIDA POR EL PARÁMETRO LEGIONELLA </t>
  </si>
  <si>
    <t>CALIDAD CUMPLIDA POR BACTERIÓFAGOS
(cuando existe riesgo de aerosolización)</t>
  </si>
  <si>
    <r>
      <t xml:space="preserve">(U.A+, U.A, U.B.,U.C) 
Según resultado </t>
    </r>
    <r>
      <rPr>
        <b/>
        <i/>
        <sz val="10"/>
        <rFont val="Arial Narrow"/>
        <family val="2"/>
      </rPr>
      <t>total</t>
    </r>
    <r>
      <rPr>
        <i/>
        <sz val="10"/>
        <rFont val="Arial Narrow"/>
        <family val="2"/>
      </rPr>
      <t xml:space="preserve"> de plantilla 2.1. Det.Clase. Generada</t>
    </r>
  </si>
  <si>
    <r>
      <t xml:space="preserve">(U.A+, U.A, U.B.,U.C) 
Según resultado </t>
    </r>
    <r>
      <rPr>
        <u/>
        <sz val="10"/>
        <rFont val="Arial Narrow"/>
        <family val="2"/>
      </rPr>
      <t>parcial</t>
    </r>
    <r>
      <rPr>
        <sz val="10"/>
        <rFont val="Arial Narrow"/>
        <family val="2"/>
      </rPr>
      <t xml:space="preserve"> de plantilla 2.1.Det.Clase. Generada</t>
    </r>
  </si>
  <si>
    <t>(U.A+, U.A, U.B.,U.C) 
Según resultado parcial de plantilla 2.1.Det.Clase. Generada</t>
  </si>
  <si>
    <t>Bacteriófagos</t>
  </si>
  <si>
    <r>
      <t xml:space="preserve">Nombre del parámetro
</t>
    </r>
    <r>
      <rPr>
        <i/>
        <sz val="10"/>
        <color theme="0"/>
        <rFont val="Arial Narrow"/>
        <family val="2"/>
      </rPr>
      <t>(parámetros adicionales, esto es, no incluidos en el Reglamento de reutilizaciónd el agua o con valores más estrictos)</t>
    </r>
  </si>
  <si>
    <t>AGENTES PELIGROSOS. RIESGOS PARA LA SALUD</t>
  </si>
  <si>
    <t xml:space="preserve">Índice de incumplimiento (parámetro o agente peligroso) </t>
  </si>
  <si>
    <r>
      <t xml:space="preserve">Posibles efectos 
</t>
    </r>
    <r>
      <rPr>
        <i/>
        <sz val="10"/>
        <color theme="1"/>
        <rFont val="Arial Narrow"/>
        <family val="2"/>
      </rPr>
      <t>(Obligatorio rellenar si son distintas a las del cuadro 2.3 )</t>
    </r>
  </si>
  <si>
    <t>Nemátodos intestinales</t>
  </si>
  <si>
    <t>Legionella spp.</t>
  </si>
  <si>
    <t>Baldeo de calles</t>
  </si>
  <si>
    <t>Consultar Reglamento de reutilización del agua. Anexo I, parte A</t>
  </si>
  <si>
    <t>ALMACENAMIENTO</t>
  </si>
  <si>
    <t>E.Coli</t>
  </si>
  <si>
    <t>Responsable</t>
  </si>
  <si>
    <t>Descripción de su ubicación
(ej. última arqueta dentro de la ERA; arqueta a la salida de la ERA…)</t>
  </si>
  <si>
    <t>(Descriptivo)</t>
  </si>
  <si>
    <t>Calidad de aguas requeridas</t>
  </si>
  <si>
    <t>(Seleccionar cuantas sean necesarias)</t>
  </si>
  <si>
    <t>Partes responsables</t>
  </si>
  <si>
    <t>Operador EDAR</t>
  </si>
  <si>
    <t>Operador ERA</t>
  </si>
  <si>
    <t>Operador de distribución/ almacenamiento</t>
  </si>
  <si>
    <t>Usuarios finales</t>
  </si>
  <si>
    <r>
      <t>☐</t>
    </r>
    <r>
      <rPr>
        <sz val="10"/>
        <color rgb="FFFFFFFF"/>
        <rFont val="Aptos"/>
        <family val="2"/>
      </rPr>
      <t xml:space="preserve"> Experiencia en AR</t>
    </r>
  </si>
  <si>
    <t>Datos EDAR</t>
  </si>
  <si>
    <t>Nombre EDAR</t>
  </si>
  <si>
    <t>Ubicación (Localidad, Municipio, Provincia)</t>
  </si>
  <si>
    <t>Código UWWTP en aplicación de Directiva 91/271/CEE</t>
  </si>
  <si>
    <t>Pretratamiento</t>
  </si>
  <si>
    <t>Tratamiento Primario</t>
  </si>
  <si>
    <t>Tratamiento Secundario</t>
  </si>
  <si>
    <t>Tratamiento más riguroso</t>
  </si>
  <si>
    <r>
      <t>☐</t>
    </r>
    <r>
      <rPr>
        <sz val="9"/>
        <color theme="1"/>
        <rFont val="Aptos"/>
        <family val="2"/>
      </rPr>
      <t xml:space="preserve"> Tanque de regulación</t>
    </r>
  </si>
  <si>
    <r>
      <t>☐</t>
    </r>
    <r>
      <rPr>
        <sz val="9"/>
        <color theme="1"/>
        <rFont val="Aptos"/>
        <family val="2"/>
      </rPr>
      <t xml:space="preserve"> Otro: </t>
    </r>
  </si>
  <si>
    <r>
      <t>☐</t>
    </r>
    <r>
      <rPr>
        <sz val="9"/>
        <color theme="1"/>
        <rFont val="Aptos"/>
        <family val="2"/>
      </rPr>
      <t xml:space="preserve"> Lechos bacterianos o biofiltros</t>
    </r>
  </si>
  <si>
    <r>
      <t>☐</t>
    </r>
    <r>
      <rPr>
        <sz val="9"/>
        <color theme="1"/>
        <rFont val="Aptos"/>
        <family val="2"/>
      </rPr>
      <t xml:space="preserve"> Lagunaje</t>
    </r>
  </si>
  <si>
    <r>
      <t>☐</t>
    </r>
    <r>
      <rPr>
        <sz val="9"/>
        <color theme="1"/>
        <rFont val="Aptos"/>
        <family val="2"/>
      </rPr>
      <t xml:space="preserve"> Cloración</t>
    </r>
  </si>
  <si>
    <t>Datos ERA</t>
  </si>
  <si>
    <t>EDAR-ERA conjunta o ERA independiente</t>
  </si>
  <si>
    <t xml:space="preserve">Nombre ERA </t>
  </si>
  <si>
    <t>Ubicación ERA (Localidad, Municipio, Provincia)</t>
  </si>
  <si>
    <t>Coordenadas ERA UTM (huso – Datum ETRS89)</t>
  </si>
  <si>
    <r>
      <t>☐</t>
    </r>
    <r>
      <rPr>
        <sz val="9"/>
        <color theme="1"/>
        <rFont val="Aptos"/>
        <family val="2"/>
      </rPr>
      <t xml:space="preserve"> Conjunta</t>
    </r>
  </si>
  <si>
    <r>
      <t>☐</t>
    </r>
    <r>
      <rPr>
        <sz val="9"/>
        <color theme="1"/>
        <rFont val="Aptos"/>
        <family val="2"/>
      </rPr>
      <t xml:space="preserve"> Independiente</t>
    </r>
  </si>
  <si>
    <t>Calidad de las aguas regeneradas suministradas</t>
  </si>
  <si>
    <t xml:space="preserve">Tratamientos de regeneración </t>
  </si>
  <si>
    <r>
      <t>☐</t>
    </r>
    <r>
      <rPr>
        <sz val="9"/>
        <color theme="1"/>
        <rFont val="Aptos"/>
        <family val="2"/>
      </rPr>
      <t xml:space="preserve"> Desnitrificación                      </t>
    </r>
    <r>
      <rPr>
        <sz val="9"/>
        <color theme="1"/>
        <rFont val="MS Gothic"/>
        <family val="3"/>
      </rPr>
      <t>☐</t>
    </r>
    <r>
      <rPr>
        <sz val="9"/>
        <color theme="1"/>
        <rFont val="Aptos"/>
        <family val="2"/>
      </rPr>
      <t xml:space="preserve"> Ozonización                 </t>
    </r>
    <r>
      <rPr>
        <sz val="9"/>
        <color theme="1"/>
        <rFont val="MS Gothic"/>
        <family val="3"/>
      </rPr>
      <t>☐</t>
    </r>
    <r>
      <rPr>
        <sz val="9"/>
        <color theme="1"/>
        <rFont val="Aptos"/>
        <family val="2"/>
      </rPr>
      <t xml:space="preserve"> Electrodiálisis                       </t>
    </r>
  </si>
  <si>
    <r>
      <t>☐</t>
    </r>
    <r>
      <rPr>
        <sz val="9"/>
        <color theme="1"/>
        <rFont val="Aptos"/>
        <family val="2"/>
      </rPr>
      <t xml:space="preserve"> Eliminación de Fósforo       </t>
    </r>
    <r>
      <rPr>
        <sz val="9"/>
        <color theme="1"/>
        <rFont val="MS Gothic"/>
        <family val="3"/>
      </rPr>
      <t>☐</t>
    </r>
    <r>
      <rPr>
        <sz val="9"/>
        <color theme="1"/>
        <rFont val="Aptos"/>
        <family val="2"/>
      </rPr>
      <t xml:space="preserve"> Ósmosis inversa               reversible</t>
    </r>
  </si>
  <si>
    <t>Experiencia ERA</t>
  </si>
  <si>
    <t>Volúmenes/Caudales de agua</t>
  </si>
  <si>
    <t>Caudal diseño</t>
  </si>
  <si>
    <r>
      <t>EDAR (m</t>
    </r>
    <r>
      <rPr>
        <vertAlign val="superscript"/>
        <sz val="9"/>
        <color rgb="FFFFFFFF"/>
        <rFont val="Aptos"/>
        <family val="2"/>
      </rPr>
      <t>3</t>
    </r>
    <r>
      <rPr>
        <sz val="9"/>
        <color rgb="FFFFFFFF"/>
        <rFont val="Aptos"/>
        <family val="2"/>
      </rPr>
      <t>/h)</t>
    </r>
  </si>
  <si>
    <r>
      <t>ERA (m</t>
    </r>
    <r>
      <rPr>
        <vertAlign val="superscript"/>
        <sz val="9"/>
        <color rgb="FFFFFFFF"/>
        <rFont val="Aptos"/>
        <family val="2"/>
      </rPr>
      <t>3</t>
    </r>
    <r>
      <rPr>
        <sz val="9"/>
        <color rgb="FFFFFFFF"/>
        <rFont val="Aptos"/>
        <family val="2"/>
      </rPr>
      <t>/h)</t>
    </r>
  </si>
  <si>
    <t>Volumen entrada EDAR</t>
  </si>
  <si>
    <r>
      <t>medio mensual (m</t>
    </r>
    <r>
      <rPr>
        <vertAlign val="superscript"/>
        <sz val="9"/>
        <color rgb="FFFFFFFF"/>
        <rFont val="Aptos"/>
        <family val="2"/>
      </rPr>
      <t>3</t>
    </r>
    <r>
      <rPr>
        <sz val="9"/>
        <color rgb="FFFFFFFF"/>
        <rFont val="Aptos"/>
        <family val="2"/>
      </rPr>
      <t>/mes)</t>
    </r>
  </si>
  <si>
    <r>
      <t>Volumen producción ERA medio mensual (m</t>
    </r>
    <r>
      <rPr>
        <vertAlign val="superscript"/>
        <sz val="9"/>
        <color rgb="FFFFFFFF"/>
        <rFont val="Aptos"/>
        <family val="2"/>
      </rPr>
      <t>3</t>
    </r>
    <r>
      <rPr>
        <sz val="9"/>
        <color rgb="FFFFFFFF"/>
        <rFont val="Aptos"/>
        <family val="2"/>
      </rPr>
      <t>/mes)</t>
    </r>
  </si>
  <si>
    <r>
      <t>Volumen autorizado aguas regeneradas (medio mensual m</t>
    </r>
    <r>
      <rPr>
        <vertAlign val="superscript"/>
        <sz val="9"/>
        <color rgb="FFFFFFFF"/>
        <rFont val="Aptos"/>
        <family val="2"/>
      </rPr>
      <t>3</t>
    </r>
    <r>
      <rPr>
        <sz val="9"/>
        <color rgb="FFFFFFFF"/>
        <rFont val="Aptos"/>
        <family val="2"/>
      </rPr>
      <t>/mes)</t>
    </r>
  </si>
  <si>
    <t>Tipo de uso</t>
  </si>
  <si>
    <t>Clasificación uso Urbano</t>
  </si>
  <si>
    <t>Clasificación uso Otros</t>
  </si>
  <si>
    <t>(Según Anexo I Parte A, RD 1085/2024)</t>
  </si>
  <si>
    <t>Coordenadas UTM (huso 30 Datum ETRS89)</t>
  </si>
  <si>
    <r>
      <t>☐</t>
    </r>
    <r>
      <rPr>
        <sz val="9"/>
        <color theme="1"/>
        <rFont val="Aptos"/>
        <family val="2"/>
      </rPr>
      <t xml:space="preserve"> Otros: Dec. Secundario</t>
    </r>
  </si>
  <si>
    <t>IDEM EDAR</t>
  </si>
  <si>
    <r>
      <t>☐</t>
    </r>
    <r>
      <rPr>
        <sz val="9"/>
        <color theme="1"/>
        <rFont val="Aptos"/>
        <family val="2"/>
      </rPr>
      <t xml:space="preserve"> Nitrificación                             </t>
    </r>
    <r>
      <rPr>
        <sz val="9"/>
        <color theme="1"/>
        <rFont val="MS Gothic"/>
        <family val="3"/>
      </rPr>
      <t>☐</t>
    </r>
    <r>
      <rPr>
        <sz val="9"/>
        <color theme="1"/>
        <rFont val="Aptos"/>
        <family val="2"/>
      </rPr>
      <t xml:space="preserve"> Ultravioleta                   </t>
    </r>
    <r>
      <rPr>
        <sz val="9"/>
        <color theme="1"/>
        <rFont val="MS Gothic"/>
        <family val="3"/>
      </rPr>
      <t>☐</t>
    </r>
    <r>
      <rPr>
        <sz val="9"/>
        <color theme="1"/>
        <rFont val="Aptos"/>
        <family val="2"/>
      </rPr>
      <t xml:space="preserve">Ultrafiltración          </t>
    </r>
    <r>
      <rPr>
        <sz val="9"/>
        <color theme="1"/>
        <rFont val="MS Gothic"/>
        <family val="3"/>
      </rPr>
      <t>☐</t>
    </r>
    <r>
      <rPr>
        <sz val="9"/>
        <color theme="1"/>
        <rFont val="Aptos"/>
        <family val="2"/>
      </rPr>
      <t xml:space="preserve"> Otro: Microfiltración (Filtros de arena) + desinfección con hipoclorito</t>
    </r>
  </si>
  <si>
    <t>Código masa de agua</t>
  </si>
  <si>
    <r>
      <t>☐</t>
    </r>
    <r>
      <rPr>
        <sz val="10"/>
        <color theme="1"/>
        <rFont val="Aptos"/>
        <family val="2"/>
      </rPr>
      <t xml:space="preserve"> U.A+      </t>
    </r>
    <r>
      <rPr>
        <sz val="10"/>
        <color theme="1"/>
        <rFont val="MS Gothic"/>
        <family val="3"/>
      </rPr>
      <t>☐</t>
    </r>
    <r>
      <rPr>
        <sz val="10"/>
        <color theme="1"/>
        <rFont val="Aptos"/>
        <family val="2"/>
      </rPr>
      <t xml:space="preserve"> U.A      ☐ U.B     </t>
    </r>
    <r>
      <rPr>
        <sz val="10"/>
        <color theme="1"/>
        <rFont val="MS Gothic"/>
        <family val="3"/>
      </rPr>
      <t>☐</t>
    </r>
    <r>
      <rPr>
        <sz val="10"/>
        <color theme="1"/>
        <rFont val="Aptos"/>
        <family val="2"/>
      </rPr>
      <t xml:space="preserve"> U.C    </t>
    </r>
  </si>
  <si>
    <t>☐ Desbaste</t>
  </si>
  <si>
    <t>☐  Desarenado</t>
  </si>
  <si>
    <t>☐  Desengrasado</t>
  </si>
  <si>
    <t>☐  Decantación primaria</t>
  </si>
  <si>
    <t>☐  Físico-Químico</t>
  </si>
  <si>
    <t>☐  Fangos activados</t>
  </si>
  <si>
    <t>☐  Nitrificación/Desnitrificación</t>
  </si>
  <si>
    <t>☐  Eliminación de fósforo</t>
  </si>
  <si>
    <t>☐ U.A+      ☐ U.A     ☐ U.B     ☐ U.C</t>
  </si>
  <si>
    <r>
      <rPr>
        <sz val="9"/>
        <color theme="1"/>
        <rFont val="Aptos"/>
        <family val="2"/>
      </rPr>
      <t xml:space="preserve">☐  ERA existente, con operador experto               </t>
    </r>
    <r>
      <rPr>
        <sz val="9"/>
        <color theme="1"/>
        <rFont val="MS Gothic"/>
        <family val="3"/>
      </rPr>
      <t>☐</t>
    </r>
    <r>
      <rPr>
        <sz val="9"/>
        <color theme="1"/>
        <rFont val="Aptos"/>
        <family val="2"/>
      </rPr>
      <t xml:space="preserve"> ERA en construcción. Finalización:                             </t>
    </r>
  </si>
  <si>
    <t>FICHA RESUMEN DEL PGRAR PARA USO URBANO</t>
  </si>
  <si>
    <t>Referencia EDAR</t>
  </si>
  <si>
    <t>Referencia ERAR</t>
  </si>
  <si>
    <t>Referencia ERA</t>
  </si>
  <si>
    <t>CARACTERIZACIÓN AGUA REGENERADA</t>
  </si>
  <si>
    <t>PEAD-01</t>
  </si>
  <si>
    <t>PCAR-01</t>
  </si>
  <si>
    <t>PEAR-01</t>
  </si>
  <si>
    <t>PI-01</t>
  </si>
  <si>
    <t>Sistema de distribución y almacenaje</t>
  </si>
  <si>
    <t>Real Decreto 1085/2024</t>
  </si>
  <si>
    <t>Tipos de uso agua regenerada</t>
  </si>
  <si>
    <t>Tipos usos urbanos</t>
  </si>
  <si>
    <t>Riego jardines privados</t>
  </si>
  <si>
    <t>U. A+  - Riego de jardines privados y/o descarga de aparatos sanitarios</t>
  </si>
  <si>
    <t>Descarga de aparatos sanitarios</t>
  </si>
  <si>
    <t>U.A - Estanques y caudales circulantes ornamentales accesibles al público</t>
  </si>
  <si>
    <t>Estanques y caudales circulantes ornamentales accesibles al público</t>
  </si>
  <si>
    <t>U. B - Baldeo de calles, riego de zonas verdes, sistemas contra incendios y/o lavado industrial de vehículos</t>
  </si>
  <si>
    <t>Estanques y caudales circulantes ornamentales NO accesibles al público</t>
  </si>
  <si>
    <t>U. C - Estanques y caudales circulantes ornamentales NO accesibles al público</t>
  </si>
  <si>
    <t>O. B - Recreativo: riego de campos de golf u otros campos deportivos</t>
  </si>
  <si>
    <t>Riego de zonas verdes urbanas (parques y similares)</t>
  </si>
  <si>
    <t>Sistemas contra incendios</t>
  </si>
  <si>
    <t>Lavado industrial de vehículos</t>
  </si>
  <si>
    <t>Riego de campos de golf</t>
  </si>
  <si>
    <t>Campos deportivos</t>
  </si>
  <si>
    <t>Matriz de tolerancia al riesgo según OMS (2016)</t>
  </si>
  <si>
    <t>TABLAS PARA EVALUACIÓN SEMICUANTITATIVA DE LAS PROBABILIDADES DE LOS RIESGOS</t>
  </si>
  <si>
    <t>TABLAS PARA LA EVALUACIÓN SEMICUANTITATIVA DE LA GRAVEDAD ASOCIADA A LOS RIESGOS</t>
  </si>
  <si>
    <t>PROBABILIDAD (P)</t>
  </si>
  <si>
    <t>GRAVEDAD (G)</t>
  </si>
  <si>
    <t>Insignificante</t>
  </si>
  <si>
    <t>Leve</t>
  </si>
  <si>
    <t>Moderada</t>
  </si>
  <si>
    <t>Grave</t>
  </si>
  <si>
    <t>Muy grave</t>
  </si>
  <si>
    <t>Muy improbable</t>
  </si>
  <si>
    <t>Improbable</t>
  </si>
  <si>
    <t>Posible</t>
  </si>
  <si>
    <t>Probable</t>
  </si>
  <si>
    <t>Casi seguro</t>
  </si>
  <si>
    <t>R</t>
  </si>
  <si>
    <t>=PxG</t>
  </si>
  <si>
    <r>
      <rPr>
        <sz val="11"/>
        <color theme="1"/>
        <rFont val="Aptos Narrow"/>
        <family val="2"/>
      </rPr>
      <t>≤</t>
    </r>
    <r>
      <rPr>
        <sz val="11"/>
        <color theme="1"/>
        <rFont val="Calibri"/>
        <family val="2"/>
        <scheme val="minor"/>
      </rPr>
      <t>6</t>
    </r>
  </si>
  <si>
    <t>6-12</t>
  </si>
  <si>
    <t>13-32</t>
  </si>
  <si>
    <t>&gt;32</t>
  </si>
  <si>
    <t>Nivel de riesgo</t>
  </si>
  <si>
    <t>Bajo</t>
  </si>
  <si>
    <t>Moderado</t>
  </si>
  <si>
    <t>Alto</t>
  </si>
  <si>
    <t>Muy alto</t>
  </si>
  <si>
    <t>ETAPA DONDE SE PRODUCE EL SUCESO</t>
  </si>
  <si>
    <t>SUCESO PELIGROSO</t>
  </si>
  <si>
    <t>AGENTE PELIGROSO
( Tanto sanitarios como ambientales)</t>
  </si>
  <si>
    <t>GRUPO/ENTORNO DE EXPOSICIÓN</t>
  </si>
  <si>
    <t>IDENTIFICACIÓN DEL SUCESO
(cómo se detecta el suceso)</t>
  </si>
  <si>
    <t>Probabilidad</t>
  </si>
  <si>
    <t>Gravedad</t>
  </si>
  <si>
    <t>ID</t>
  </si>
  <si>
    <t>Definición</t>
  </si>
  <si>
    <t>CONTROL NO ANALÍTICO</t>
  </si>
  <si>
    <r>
      <t>PUNTO DE CONTROL ANALÍTICO</t>
    </r>
    <r>
      <rPr>
        <sz val="12"/>
        <color theme="0"/>
        <rFont val="Arial Narrow"/>
        <family val="2"/>
      </rPr>
      <t xml:space="preserve"> </t>
    </r>
    <r>
      <rPr>
        <i/>
        <sz val="12"/>
        <color theme="0"/>
        <rFont val="Arial Narrow"/>
        <family val="2"/>
      </rPr>
      <t>(describir punto e identificar PI)</t>
    </r>
  </si>
  <si>
    <r>
      <t>P</t>
    </r>
    <r>
      <rPr>
        <b/>
        <vertAlign val="subscript"/>
        <sz val="12"/>
        <color theme="0"/>
        <rFont val="Arial Narrow"/>
        <family val="2"/>
      </rPr>
      <t>os</t>
    </r>
  </si>
  <si>
    <r>
      <t>P</t>
    </r>
    <r>
      <rPr>
        <b/>
        <vertAlign val="subscript"/>
        <sz val="12"/>
        <color theme="0"/>
        <rFont val="Arial Narrow"/>
        <family val="2"/>
      </rPr>
      <t>pres</t>
    </r>
  </si>
  <si>
    <r>
      <t>P</t>
    </r>
    <r>
      <rPr>
        <b/>
        <vertAlign val="subscript"/>
        <sz val="12"/>
        <color theme="0"/>
        <rFont val="Arial Narrow"/>
        <family val="2"/>
      </rPr>
      <t>exp</t>
    </r>
  </si>
  <si>
    <r>
      <t>P</t>
    </r>
    <r>
      <rPr>
        <b/>
        <vertAlign val="subscript"/>
        <sz val="12"/>
        <color theme="0"/>
        <rFont val="Arial Narrow"/>
        <family val="2"/>
      </rPr>
      <t>f</t>
    </r>
  </si>
  <si>
    <r>
      <t>G</t>
    </r>
    <r>
      <rPr>
        <b/>
        <vertAlign val="subscript"/>
        <sz val="12"/>
        <color theme="0"/>
        <rFont val="Arial Narrow"/>
        <family val="2"/>
      </rPr>
      <t>ap</t>
    </r>
  </si>
  <si>
    <r>
      <t>F</t>
    </r>
    <r>
      <rPr>
        <b/>
        <vertAlign val="subscript"/>
        <sz val="12"/>
        <color theme="0"/>
        <rFont val="Arial Narrow"/>
        <family val="2"/>
      </rPr>
      <t>vexp</t>
    </r>
  </si>
  <si>
    <r>
      <t>G</t>
    </r>
    <r>
      <rPr>
        <b/>
        <vertAlign val="subscript"/>
        <sz val="12"/>
        <color theme="0"/>
        <rFont val="Arial Narrow"/>
        <family val="2"/>
      </rPr>
      <t>f</t>
    </r>
  </si>
  <si>
    <t>Riesgo</t>
  </si>
  <si>
    <t>Nivel Riesgo</t>
  </si>
  <si>
    <t>ECOLI</t>
  </si>
  <si>
    <t>ED01</t>
  </si>
  <si>
    <t>Insuficiente depuración</t>
  </si>
  <si>
    <t>Fallo en el tratamiento biológico, pérdida de capacidad o aumento de los contaminantes de entrada a la EDAR de forma brusca debido a vertidos inesperados, de forma que el agua de entrada al terciario contiene una alta concentración de contaminantes que el terciario no puede eliminar</t>
  </si>
  <si>
    <t>Todos</t>
  </si>
  <si>
    <t>Usuarios finales y externos</t>
  </si>
  <si>
    <t>Ej. El operador identifica personal sin formación, incumpliendo el plan de explotación o sin utilizar los EPI.
Malestar físico de los trabajadores.</t>
  </si>
  <si>
    <t>PEAR y/o PEAD</t>
  </si>
  <si>
    <t>ER01</t>
  </si>
  <si>
    <t>Insuficiente filtración</t>
  </si>
  <si>
    <t>Fallo en el sistema de filtración debido a una inadecuada puesta en servicio tras una parada o a un desajuste de los parámetros de funcionamiento.</t>
  </si>
  <si>
    <t>E.coli, Nemátodos, Legionella</t>
  </si>
  <si>
    <t>ALM01</t>
  </si>
  <si>
    <t>Contaminación biológica</t>
  </si>
  <si>
    <t>Contaminación biológica en el depósito de almacenamiento</t>
  </si>
  <si>
    <t>Degradación del cloro</t>
  </si>
  <si>
    <t>Contacto con el agua</t>
  </si>
  <si>
    <t>DIS01</t>
  </si>
  <si>
    <t>Contacto accidental con el agua regenerada en su red de distribución</t>
  </si>
  <si>
    <t>Operarios de la instalación de distribución</t>
  </si>
  <si>
    <t>US01</t>
  </si>
  <si>
    <t>Degradación del cloro debido a un exceso de tiempo desde la recogida por camión cisterna hasta su uso</t>
  </si>
  <si>
    <r>
      <t xml:space="preserve">Responsable 
</t>
    </r>
    <r>
      <rPr>
        <sz val="10"/>
        <color theme="1"/>
        <rFont val="Arial Narrow"/>
        <family val="2"/>
      </rPr>
      <t>(Ver pestaña "3.1. responsable rol")</t>
    </r>
  </si>
  <si>
    <t>OTRAS MEDIDAS</t>
  </si>
  <si>
    <t>MEDIDAS CORRECTORAS</t>
  </si>
  <si>
    <t>MEDIDAS PREVENTIVAS</t>
  </si>
  <si>
    <r>
      <t>PUNTO DE CONTROL ANALÍTICO</t>
    </r>
    <r>
      <rPr>
        <sz val="10"/>
        <color theme="0"/>
        <rFont val="Arial Narrow"/>
        <family val="2"/>
      </rPr>
      <t xml:space="preserve"> </t>
    </r>
    <r>
      <rPr>
        <i/>
        <sz val="10"/>
        <color theme="0"/>
        <rFont val="Arial Narrow"/>
        <family val="2"/>
      </rPr>
      <t>(describir punto e identificar POI)</t>
    </r>
  </si>
  <si>
    <t>MEDIDAS</t>
  </si>
  <si>
    <t>AGENTE PELIGROSO</t>
  </si>
  <si>
    <t xml:space="preserve">SUCESO PELIGROSO </t>
  </si>
  <si>
    <t>2.1.</t>
  </si>
  <si>
    <t>Caracterización del agua bruta</t>
  </si>
  <si>
    <t>Caracterización del agua tras el secundario</t>
  </si>
  <si>
    <t>Caracterización del agua depurada (si la EDAR y la ERAR son instalaciones distintas)</t>
  </si>
  <si>
    <t>Caracterización del agua regenerada</t>
  </si>
  <si>
    <t>Determinación de la clase de calidad del agua regenerada</t>
  </si>
  <si>
    <t>Volumen de agua regenerada</t>
  </si>
  <si>
    <t>Puntos de interés</t>
  </si>
  <si>
    <t>Clase requerida para el uso previsto</t>
  </si>
  <si>
    <t>Masas de agua</t>
  </si>
  <si>
    <t>Partes responsables: datos de contacto</t>
  </si>
  <si>
    <t>Partes responsables: roles y responsabilidades</t>
  </si>
  <si>
    <t>Requisitos mínimos de calidad y monitorización</t>
  </si>
  <si>
    <t>Barreras para la mejora de clase</t>
  </si>
  <si>
    <t>Medidas para la mejora de clase</t>
  </si>
  <si>
    <t>Agentes peligrosos para la salud</t>
  </si>
  <si>
    <t>Plantilla auxiliar</t>
  </si>
  <si>
    <t>Instrucciones para la evaluación de riesgos</t>
  </si>
  <si>
    <t>Evaluación de riesgos</t>
  </si>
  <si>
    <t>Requisitos adicionales de calidad y monitorización</t>
  </si>
  <si>
    <t>Respuesta a los riesgos</t>
  </si>
  <si>
    <t>Control y verificación del cumplimiento</t>
  </si>
  <si>
    <t>4.2.</t>
  </si>
  <si>
    <t>4.3.</t>
  </si>
  <si>
    <t>4.4.</t>
  </si>
  <si>
    <t>5.1.</t>
  </si>
  <si>
    <t>5.2.</t>
  </si>
  <si>
    <t>6.0.</t>
  </si>
  <si>
    <t>Aux</t>
  </si>
  <si>
    <t>6.</t>
  </si>
  <si>
    <t>7.</t>
  </si>
  <si>
    <t>8.</t>
  </si>
  <si>
    <t>9.</t>
  </si>
  <si>
    <t>2.3.</t>
  </si>
  <si>
    <t>2.5.</t>
  </si>
  <si>
    <t>2.6.</t>
  </si>
  <si>
    <t>3.1.</t>
  </si>
  <si>
    <t>ÍNDICE APARTADOS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</si>
</sst>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i/>
      <sz val="10"/>
      <color theme="1"/>
      <name val="Arial Narrow"/>
      <family val="2"/>
    </font>
    <font>
      <sz val="10"/>
      <color theme="0"/>
      <name val="Arial Narrow"/>
      <family val="2"/>
    </font>
    <font>
      <b/>
      <i/>
      <sz val="10"/>
      <color rgb="FFFF0000"/>
      <name val="Arial Narrow"/>
      <family val="2"/>
    </font>
    <font>
      <b/>
      <i/>
      <sz val="10"/>
      <name val="Arial Narrow"/>
      <family val="2"/>
    </font>
    <font>
      <i/>
      <sz val="10"/>
      <color rgb="FFFF000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u/>
      <sz val="10"/>
      <color theme="10"/>
      <name val="Arial Narrow"/>
      <family val="2"/>
    </font>
    <font>
      <i/>
      <sz val="10"/>
      <color theme="0"/>
      <name val="Arial Narrow"/>
      <family val="2"/>
    </font>
    <font>
      <sz val="10"/>
      <color theme="4" tint="-0.249977111117893"/>
      <name val="Arial Narrow"/>
      <family val="2"/>
    </font>
    <font>
      <sz val="10"/>
      <color theme="9"/>
      <name val="Arial Narrow"/>
      <family val="2"/>
    </font>
    <font>
      <sz val="10"/>
      <color theme="4"/>
      <name val="Arial Narrow"/>
      <family val="2"/>
    </font>
    <font>
      <b/>
      <vertAlign val="superscript"/>
      <sz val="10"/>
      <color theme="0"/>
      <name val="Arial Narrow"/>
      <family val="2"/>
    </font>
    <font>
      <i/>
      <sz val="10"/>
      <color theme="1" tint="0.499984740745262"/>
      <name val="Arial Narrow"/>
      <family val="2"/>
    </font>
    <font>
      <b/>
      <sz val="10"/>
      <color rgb="FF00B0F0"/>
      <name val="Arial Narrow"/>
      <family val="2"/>
    </font>
    <font>
      <sz val="10"/>
      <color theme="1"/>
      <name val="Arial"/>
      <family val="2"/>
    </font>
    <font>
      <b/>
      <sz val="11"/>
      <color theme="0"/>
      <name val="Calibri"/>
      <family val="2"/>
    </font>
    <font>
      <u/>
      <sz val="10"/>
      <name val="Arial Narrow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FF"/>
      <name val="Aptos"/>
      <family val="2"/>
    </font>
    <font>
      <sz val="10"/>
      <color rgb="FFFFFFFF"/>
      <name val="Aptos"/>
      <family val="2"/>
    </font>
    <font>
      <sz val="10"/>
      <color theme="1"/>
      <name val="Aptos"/>
      <family val="2"/>
    </font>
    <font>
      <sz val="10"/>
      <color theme="1"/>
      <name val="MS Gothic"/>
      <family val="3"/>
    </font>
    <font>
      <b/>
      <sz val="10"/>
      <color rgb="FFFFFFFF"/>
      <name val="Aptos"/>
      <family val="2"/>
    </font>
    <font>
      <sz val="10"/>
      <color rgb="FFFFFFFF"/>
      <name val="MS Gothic"/>
      <family val="3"/>
    </font>
    <font>
      <sz val="9"/>
      <color theme="1"/>
      <name val="Aptos"/>
      <family val="2"/>
    </font>
    <font>
      <sz val="9"/>
      <color theme="1"/>
      <name val="MS Gothic"/>
      <family val="3"/>
    </font>
    <font>
      <sz val="9"/>
      <color rgb="FFFFFFFF"/>
      <name val="Aptos"/>
      <family val="2"/>
    </font>
    <font>
      <vertAlign val="superscript"/>
      <sz val="9"/>
      <color rgb="FFFFFFFF"/>
      <name val="Aptos"/>
      <family val="2"/>
    </font>
    <font>
      <sz val="10"/>
      <name val="Aptos"/>
      <family val="2"/>
    </font>
    <font>
      <sz val="10"/>
      <color theme="0"/>
      <name val="Aptos"/>
      <family val="2"/>
    </font>
    <font>
      <sz val="9"/>
      <color theme="1"/>
      <name val="MS Gothic"/>
      <family val="3"/>
      <charset val="2"/>
    </font>
    <font>
      <b/>
      <sz val="14"/>
      <color theme="1"/>
      <name val="Calibri"/>
      <family val="2"/>
      <scheme val="minor"/>
    </font>
    <font>
      <sz val="11"/>
      <color theme="1"/>
      <name val="Aptos Narrow"/>
      <family val="2"/>
    </font>
    <font>
      <sz val="10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0"/>
      <name val="Arial Narrow"/>
      <family val="2"/>
    </font>
    <font>
      <i/>
      <sz val="12"/>
      <color theme="0"/>
      <name val="Arial Narrow"/>
      <family val="2"/>
    </font>
    <font>
      <b/>
      <vertAlign val="subscript"/>
      <sz val="12"/>
      <color theme="0"/>
      <name val="Arial Narrow"/>
      <family val="2"/>
    </font>
    <font>
      <i/>
      <sz val="12"/>
      <color theme="1" tint="0.499984740745262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111B0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1" fillId="9" borderId="5" applyNumberFormat="0" applyAlignment="0" applyProtection="0"/>
    <xf numFmtId="0" fontId="4" fillId="8" borderId="0" applyNumberFormat="0" applyBorder="0" applyAlignment="0" applyProtection="0"/>
    <xf numFmtId="0" fontId="5" fillId="0" borderId="0"/>
  </cellStyleXfs>
  <cellXfs count="479">
    <xf numFmtId="0" fontId="0" fillId="0" borderId="0" xfId="0"/>
    <xf numFmtId="0" fontId="6" fillId="13" borderId="1" xfId="1" applyFont="1" applyFill="1" applyBorder="1" applyAlignment="1">
      <alignment horizontal="right" vertical="center" wrapText="1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9" fillId="5" borderId="21" xfId="0" applyFont="1" applyFill="1" applyBorder="1" applyAlignment="1">
      <alignment vertical="center" wrapText="1"/>
    </xf>
    <xf numFmtId="0" fontId="9" fillId="24" borderId="21" xfId="0" applyFont="1" applyFill="1" applyBorder="1" applyAlignment="1">
      <alignment vertical="center" wrapText="1"/>
    </xf>
    <xf numFmtId="0" fontId="8" fillId="13" borderId="8" xfId="0" applyFont="1" applyFill="1" applyBorder="1" applyAlignment="1">
      <alignment vertical="center" wrapText="1"/>
    </xf>
    <xf numFmtId="0" fontId="8" fillId="13" borderId="1" xfId="0" applyFont="1" applyFill="1" applyBorder="1" applyAlignment="1">
      <alignment vertical="center" wrapText="1"/>
    </xf>
    <xf numFmtId="0" fontId="8" fillId="17" borderId="1" xfId="0" applyFont="1" applyFill="1" applyBorder="1" applyAlignment="1">
      <alignment vertical="center" wrapText="1"/>
    </xf>
    <xf numFmtId="0" fontId="10" fillId="13" borderId="1" xfId="0" applyFont="1" applyFill="1" applyBorder="1" applyAlignment="1">
      <alignment vertical="center" wrapText="1"/>
    </xf>
    <xf numFmtId="0" fontId="8" fillId="13" borderId="19" xfId="0" applyFont="1" applyFill="1" applyBorder="1" applyAlignment="1">
      <alignment vertical="center" wrapText="1"/>
    </xf>
    <xf numFmtId="0" fontId="8" fillId="13" borderId="6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0" fontId="9" fillId="21" borderId="13" xfId="3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 wrapText="1"/>
    </xf>
    <xf numFmtId="0" fontId="9" fillId="21" borderId="3" xfId="3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21" borderId="9" xfId="3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7" fillId="0" borderId="1" xfId="0" applyFont="1" applyBorder="1" applyAlignment="1">
      <alignment vertical="center" wrapText="1"/>
    </xf>
    <xf numFmtId="0" fontId="8" fillId="13" borderId="8" xfId="0" applyFont="1" applyFill="1" applyBorder="1" applyAlignment="1">
      <alignment vertical="center"/>
    </xf>
    <xf numFmtId="0" fontId="8" fillId="13" borderId="1" xfId="0" applyFont="1" applyFill="1" applyBorder="1" applyAlignment="1">
      <alignment vertical="center"/>
    </xf>
    <xf numFmtId="0" fontId="8" fillId="13" borderId="4" xfId="0" applyFont="1" applyFill="1" applyBorder="1" applyAlignment="1">
      <alignment vertical="center"/>
    </xf>
    <xf numFmtId="0" fontId="8" fillId="13" borderId="19" xfId="0" applyFont="1" applyFill="1" applyBorder="1" applyAlignment="1">
      <alignment vertical="center"/>
    </xf>
    <xf numFmtId="0" fontId="8" fillId="13" borderId="6" xfId="0" applyFont="1" applyFill="1" applyBorder="1" applyAlignment="1">
      <alignment vertical="center"/>
    </xf>
    <xf numFmtId="0" fontId="8" fillId="13" borderId="1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8" fillId="19" borderId="1" xfId="0" applyFont="1" applyFill="1" applyBorder="1" applyAlignment="1">
      <alignment horizontal="left" vertical="center" wrapText="1"/>
    </xf>
    <xf numFmtId="0" fontId="17" fillId="22" borderId="13" xfId="0" applyFont="1" applyFill="1" applyBorder="1" applyAlignment="1">
      <alignment vertical="center" wrapText="1"/>
    </xf>
    <xf numFmtId="0" fontId="17" fillId="22" borderId="3" xfId="0" applyFont="1" applyFill="1" applyBorder="1" applyAlignment="1">
      <alignment vertical="center" wrapText="1"/>
    </xf>
    <xf numFmtId="0" fontId="17" fillId="22" borderId="9" xfId="0" applyFont="1" applyFill="1" applyBorder="1" applyAlignment="1">
      <alignment horizontal="center" vertical="center" wrapText="1"/>
    </xf>
    <xf numFmtId="0" fontId="17" fillId="22" borderId="13" xfId="0" applyFont="1" applyFill="1" applyBorder="1" applyAlignment="1">
      <alignment horizontal="center" vertical="center" wrapText="1"/>
    </xf>
    <xf numFmtId="14" fontId="8" fillId="13" borderId="1" xfId="0" applyNumberFormat="1" applyFont="1" applyFill="1" applyBorder="1" applyAlignment="1">
      <alignment vertical="center" wrapText="1"/>
    </xf>
    <xf numFmtId="0" fontId="8" fillId="13" borderId="4" xfId="0" applyFont="1" applyFill="1" applyBorder="1" applyAlignment="1">
      <alignment vertical="center" wrapText="1"/>
    </xf>
    <xf numFmtId="0" fontId="8" fillId="13" borderId="14" xfId="0" applyFont="1" applyFill="1" applyBorder="1" applyAlignment="1">
      <alignment vertical="center" wrapText="1"/>
    </xf>
    <xf numFmtId="0" fontId="17" fillId="22" borderId="9" xfId="0" applyFont="1" applyFill="1" applyBorder="1" applyAlignment="1">
      <alignment vertical="center" wrapText="1"/>
    </xf>
    <xf numFmtId="14" fontId="8" fillId="13" borderId="6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18" borderId="1" xfId="0" applyFont="1" applyFill="1" applyBorder="1" applyAlignment="1">
      <alignment horizontal="center" vertical="center" wrapText="1"/>
    </xf>
    <xf numFmtId="0" fontId="7" fillId="12" borderId="1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7" fillId="22" borderId="13" xfId="0" applyFont="1" applyFill="1" applyBorder="1" applyAlignment="1">
      <alignment horizontal="center" vertical="center"/>
    </xf>
    <xf numFmtId="0" fontId="17" fillId="22" borderId="3" xfId="0" applyFont="1" applyFill="1" applyBorder="1" applyAlignment="1">
      <alignment horizontal="center" vertical="center" wrapText="1"/>
    </xf>
    <xf numFmtId="0" fontId="17" fillId="22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13" borderId="8" xfId="0" applyFont="1" applyFill="1" applyBorder="1" applyAlignment="1">
      <alignment horizontal="left" vertical="center" wrapText="1"/>
    </xf>
    <xf numFmtId="0" fontId="8" fillId="13" borderId="8" xfId="0" applyFont="1" applyFill="1" applyBorder="1" applyAlignment="1">
      <alignment horizontal="left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8" fillId="13" borderId="1" xfId="0" applyFont="1" applyFill="1" applyBorder="1" applyAlignment="1">
      <alignment horizontal="center" vertical="center"/>
    </xf>
    <xf numFmtId="14" fontId="8" fillId="13" borderId="1" xfId="0" applyNumberFormat="1" applyFont="1" applyFill="1" applyBorder="1" applyAlignment="1">
      <alignment horizontal="center" vertical="center"/>
    </xf>
    <xf numFmtId="0" fontId="11" fillId="13" borderId="4" xfId="0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/>
    </xf>
    <xf numFmtId="0" fontId="10" fillId="13" borderId="19" xfId="0" applyFont="1" applyFill="1" applyBorder="1" applyAlignment="1">
      <alignment horizontal="left" vertical="center" wrapText="1"/>
    </xf>
    <xf numFmtId="0" fontId="8" fillId="13" borderId="19" xfId="0" applyFont="1" applyFill="1" applyBorder="1" applyAlignment="1">
      <alignment horizontal="left" vertical="center" wrapText="1"/>
    </xf>
    <xf numFmtId="0" fontId="8" fillId="13" borderId="6" xfId="0" applyFont="1" applyFill="1" applyBorder="1" applyAlignment="1">
      <alignment horizontal="left" vertical="center" wrapText="1"/>
    </xf>
    <xf numFmtId="0" fontId="8" fillId="13" borderId="6" xfId="0" applyFont="1" applyFill="1" applyBorder="1" applyAlignment="1">
      <alignment horizontal="center" vertical="center"/>
    </xf>
    <xf numFmtId="14" fontId="8" fillId="13" borderId="6" xfId="0" applyNumberFormat="1" applyFont="1" applyFill="1" applyBorder="1" applyAlignment="1">
      <alignment horizontal="center" vertical="center"/>
    </xf>
    <xf numFmtId="0" fontId="8" fillId="13" borderId="14" xfId="0" applyFont="1" applyFill="1" applyBorder="1" applyAlignment="1">
      <alignment horizontal="center" vertical="center"/>
    </xf>
    <xf numFmtId="0" fontId="15" fillId="22" borderId="8" xfId="0" applyFont="1" applyFill="1" applyBorder="1" applyAlignment="1">
      <alignment horizontal="center" vertical="center" wrapText="1"/>
    </xf>
    <xf numFmtId="0" fontId="15" fillId="22" borderId="13" xfId="0" applyFont="1" applyFill="1" applyBorder="1" applyAlignment="1">
      <alignment horizontal="center" vertical="center" wrapText="1"/>
    </xf>
    <xf numFmtId="0" fontId="15" fillId="22" borderId="12" xfId="0" applyFont="1" applyFill="1" applyBorder="1" applyAlignment="1">
      <alignment horizontal="center" vertical="center" wrapText="1"/>
    </xf>
    <xf numFmtId="0" fontId="17" fillId="13" borderId="8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0" fontId="8" fillId="13" borderId="8" xfId="0" quotePrefix="1" applyFont="1" applyFill="1" applyBorder="1" applyAlignment="1">
      <alignment vertical="center" wrapText="1"/>
    </xf>
    <xf numFmtId="0" fontId="8" fillId="13" borderId="1" xfId="0" quotePrefix="1" applyFont="1" applyFill="1" applyBorder="1" applyAlignment="1">
      <alignment vertical="center" wrapText="1"/>
    </xf>
    <xf numFmtId="0" fontId="20" fillId="13" borderId="4" xfId="2" applyFont="1" applyFill="1" applyBorder="1" applyAlignment="1">
      <alignment vertical="center" wrapText="1"/>
    </xf>
    <xf numFmtId="0" fontId="9" fillId="5" borderId="10" xfId="0" applyFont="1" applyFill="1" applyBorder="1" applyAlignment="1">
      <alignment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12" borderId="3" xfId="0" applyFont="1" applyFill="1" applyBorder="1" applyAlignment="1">
      <alignment horizontal="center" vertical="center" wrapText="1"/>
    </xf>
    <xf numFmtId="0" fontId="18" fillId="27" borderId="13" xfId="0" applyFont="1" applyFill="1" applyBorder="1" applyAlignment="1">
      <alignment horizontal="center" vertical="center" wrapText="1"/>
    </xf>
    <xf numFmtId="0" fontId="18" fillId="27" borderId="3" xfId="0" applyFont="1" applyFill="1" applyBorder="1" applyAlignment="1">
      <alignment horizontal="center" vertical="center" wrapText="1"/>
    </xf>
    <xf numFmtId="0" fontId="18" fillId="12" borderId="9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0" fillId="17" borderId="3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0" fontId="10" fillId="13" borderId="6" xfId="0" applyFont="1" applyFill="1" applyBorder="1" applyAlignment="1">
      <alignment horizontal="center" vertical="center"/>
    </xf>
    <xf numFmtId="0" fontId="10" fillId="17" borderId="6" xfId="0" applyFont="1" applyFill="1" applyBorder="1" applyAlignment="1">
      <alignment horizontal="center" vertical="center"/>
    </xf>
    <xf numFmtId="0" fontId="10" fillId="13" borderId="14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9" fillId="16" borderId="3" xfId="0" applyFont="1" applyFill="1" applyBorder="1" applyAlignment="1">
      <alignment horizontal="center" vertical="center" wrapText="1"/>
    </xf>
    <xf numFmtId="0" fontId="9" fillId="15" borderId="3" xfId="0" applyFont="1" applyFill="1" applyBorder="1" applyAlignment="1">
      <alignment horizontal="center" vertical="center" wrapText="1"/>
    </xf>
    <xf numFmtId="0" fontId="6" fillId="12" borderId="1" xfId="1" applyFont="1" applyFill="1" applyBorder="1" applyAlignment="1">
      <alignment vertical="center" wrapText="1"/>
    </xf>
    <xf numFmtId="2" fontId="6" fillId="12" borderId="1" xfId="1" applyNumberFormat="1" applyFont="1" applyFill="1" applyBorder="1" applyAlignment="1">
      <alignment horizontal="right" vertical="center" wrapText="1"/>
    </xf>
    <xf numFmtId="17" fontId="6" fillId="13" borderId="8" xfId="1" applyNumberFormat="1" applyFont="1" applyFill="1" applyBorder="1" applyAlignment="1">
      <alignment vertical="center" wrapText="1"/>
    </xf>
    <xf numFmtId="4" fontId="8" fillId="13" borderId="3" xfId="1" applyNumberFormat="1" applyFont="1" applyFill="1" applyBorder="1" applyAlignment="1">
      <alignment horizontal="center" vertical="center" wrapText="1"/>
    </xf>
    <xf numFmtId="4" fontId="8" fillId="13" borderId="1" xfId="1" applyNumberFormat="1" applyFont="1" applyFill="1" applyBorder="1" applyAlignment="1">
      <alignment horizontal="right" vertical="center" wrapText="1"/>
    </xf>
    <xf numFmtId="4" fontId="8" fillId="13" borderId="1" xfId="1" applyNumberFormat="1" applyFont="1" applyFill="1" applyBorder="1" applyAlignment="1">
      <alignment horizontal="center" vertical="center" wrapText="1"/>
    </xf>
    <xf numFmtId="4" fontId="8" fillId="13" borderId="1" xfId="0" applyNumberFormat="1" applyFont="1" applyFill="1" applyBorder="1" applyAlignment="1">
      <alignment vertical="center"/>
    </xf>
    <xf numFmtId="4" fontId="8" fillId="13" borderId="6" xfId="1" applyNumberFormat="1" applyFont="1" applyFill="1" applyBorder="1" applyAlignment="1">
      <alignment horizontal="center" vertical="center" wrapText="1"/>
    </xf>
    <xf numFmtId="4" fontId="8" fillId="13" borderId="6" xfId="0" applyNumberFormat="1" applyFont="1" applyFill="1" applyBorder="1" applyAlignment="1">
      <alignment vertical="center"/>
    </xf>
    <xf numFmtId="2" fontId="6" fillId="0" borderId="0" xfId="1" applyNumberFormat="1" applyFont="1" applyAlignment="1">
      <alignment horizontal="right" vertical="center" wrapText="1"/>
    </xf>
    <xf numFmtId="3" fontId="8" fillId="13" borderId="1" xfId="1" quotePrefix="1" applyNumberFormat="1" applyFont="1" applyFill="1" applyBorder="1" applyAlignment="1">
      <alignment horizontal="center" vertical="center" wrapText="1"/>
    </xf>
    <xf numFmtId="1" fontId="6" fillId="13" borderId="2" xfId="1" applyNumberFormat="1" applyFont="1" applyFill="1" applyBorder="1" applyAlignment="1">
      <alignment horizontal="right"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1" fillId="0" borderId="0" xfId="0" applyFont="1"/>
    <xf numFmtId="0" fontId="9" fillId="26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7" fillId="7" borderId="13" xfId="0" applyFont="1" applyFill="1" applyBorder="1" applyAlignment="1">
      <alignment vertical="center" wrapText="1"/>
    </xf>
    <xf numFmtId="0" fontId="17" fillId="7" borderId="3" xfId="0" applyFont="1" applyFill="1" applyBorder="1" applyAlignment="1">
      <alignment vertical="center" wrapText="1"/>
    </xf>
    <xf numFmtId="0" fontId="17" fillId="25" borderId="3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7" fillId="7" borderId="9" xfId="0" applyFont="1" applyFill="1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26" fillId="17" borderId="13" xfId="0" applyFont="1" applyFill="1" applyBorder="1" applyAlignment="1">
      <alignment vertical="center" wrapText="1"/>
    </xf>
    <xf numFmtId="0" fontId="26" fillId="17" borderId="3" xfId="0" applyFont="1" applyFill="1" applyBorder="1" applyAlignment="1">
      <alignment horizontal="center" vertical="center" wrapText="1"/>
    </xf>
    <xf numFmtId="0" fontId="26" fillId="17" borderId="9" xfId="0" applyFont="1" applyFill="1" applyBorder="1" applyAlignment="1">
      <alignment vertical="center" wrapText="1"/>
    </xf>
    <xf numFmtId="0" fontId="27" fillId="0" borderId="10" xfId="0" applyFont="1" applyBorder="1" applyAlignment="1">
      <alignment horizontal="left" vertical="center"/>
    </xf>
    <xf numFmtId="0" fontId="18" fillId="6" borderId="13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14" borderId="3" xfId="0" applyFont="1" applyFill="1" applyBorder="1" applyAlignment="1">
      <alignment horizontal="center" vertical="center"/>
    </xf>
    <xf numFmtId="9" fontId="18" fillId="2" borderId="8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/>
    </xf>
    <xf numFmtId="0" fontId="9" fillId="11" borderId="6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 wrapText="1"/>
    </xf>
    <xf numFmtId="0" fontId="9" fillId="14" borderId="6" xfId="0" applyFont="1" applyFill="1" applyBorder="1" applyAlignment="1">
      <alignment horizontal="center" vertical="center"/>
    </xf>
    <xf numFmtId="0" fontId="9" fillId="16" borderId="6" xfId="0" applyFont="1" applyFill="1" applyBorder="1" applyAlignment="1">
      <alignment horizontal="center" vertical="center" wrapText="1"/>
    </xf>
    <xf numFmtId="0" fontId="9" fillId="15" borderId="6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9" fillId="3" borderId="3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3" fontId="7" fillId="13" borderId="6" xfId="1" applyNumberFormat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3" fontId="8" fillId="0" borderId="0" xfId="1" quotePrefix="1" applyNumberFormat="1" applyFont="1" applyAlignment="1">
      <alignment horizontal="center" vertical="center" wrapText="1"/>
    </xf>
    <xf numFmtId="4" fontId="28" fillId="13" borderId="1" xfId="0" applyNumberFormat="1" applyFont="1" applyFill="1" applyBorder="1" applyAlignment="1">
      <alignment vertical="center"/>
    </xf>
    <xf numFmtId="4" fontId="28" fillId="13" borderId="3" xfId="0" applyNumberFormat="1" applyFont="1" applyFill="1" applyBorder="1" applyAlignment="1">
      <alignment vertical="center"/>
    </xf>
    <xf numFmtId="4" fontId="28" fillId="13" borderId="6" xfId="0" applyNumberFormat="1" applyFont="1" applyFill="1" applyBorder="1" applyAlignment="1">
      <alignment vertical="center"/>
    </xf>
    <xf numFmtId="0" fontId="29" fillId="3" borderId="3" xfId="1" applyFont="1" applyFill="1" applyBorder="1" applyAlignment="1">
      <alignment horizontal="center" vertical="center" wrapText="1"/>
    </xf>
    <xf numFmtId="4" fontId="8" fillId="13" borderId="3" xfId="1" applyNumberFormat="1" applyFont="1" applyFill="1" applyBorder="1" applyAlignment="1">
      <alignment horizontal="right" vertical="center" wrapText="1"/>
    </xf>
    <xf numFmtId="2" fontId="9" fillId="23" borderId="3" xfId="1" applyNumberFormat="1" applyFont="1" applyFill="1" applyBorder="1" applyAlignment="1">
      <alignment horizontal="right" vertical="center" wrapText="1"/>
    </xf>
    <xf numFmtId="2" fontId="6" fillId="20" borderId="3" xfId="1" applyNumberFormat="1" applyFont="1" applyFill="1" applyBorder="1" applyAlignment="1">
      <alignment horizontal="right" vertical="center" wrapText="1"/>
    </xf>
    <xf numFmtId="0" fontId="17" fillId="0" borderId="8" xfId="0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31" fillId="13" borderId="8" xfId="0" applyFont="1" applyFill="1" applyBorder="1" applyAlignment="1">
      <alignment horizontal="left" vertical="center" wrapText="1"/>
    </xf>
    <xf numFmtId="0" fontId="28" fillId="13" borderId="1" xfId="0" applyFont="1" applyFill="1" applyBorder="1" applyAlignment="1">
      <alignment horizontal="left" vertical="center" wrapText="1"/>
    </xf>
    <xf numFmtId="0" fontId="28" fillId="13" borderId="1" xfId="0" applyFont="1" applyFill="1" applyBorder="1" applyAlignment="1">
      <alignment horizontal="center" vertical="center"/>
    </xf>
    <xf numFmtId="14" fontId="28" fillId="13" borderId="1" xfId="0" applyNumberFormat="1" applyFont="1" applyFill="1" applyBorder="1" applyAlignment="1">
      <alignment horizontal="center" vertical="center"/>
    </xf>
    <xf numFmtId="0" fontId="32" fillId="13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19" borderId="1" xfId="0" applyFont="1" applyFill="1" applyBorder="1" applyAlignment="1">
      <alignment horizontal="left" vertical="center" wrapText="1"/>
    </xf>
    <xf numFmtId="0" fontId="20" fillId="13" borderId="14" xfId="2" applyFont="1" applyFill="1" applyBorder="1" applyAlignment="1">
      <alignment vertical="center" wrapText="1"/>
    </xf>
    <xf numFmtId="0" fontId="9" fillId="5" borderId="8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0" fontId="28" fillId="13" borderId="4" xfId="0" applyFont="1" applyFill="1" applyBorder="1" applyAlignment="1">
      <alignment vertical="center" wrapText="1"/>
    </xf>
    <xf numFmtId="0" fontId="0" fillId="13" borderId="8" xfId="0" applyFill="1" applyBorder="1" applyAlignment="1">
      <alignment vertical="center"/>
    </xf>
    <xf numFmtId="0" fontId="0" fillId="13" borderId="1" xfId="0" applyFill="1" applyBorder="1" applyAlignment="1">
      <alignment vertical="center"/>
    </xf>
    <xf numFmtId="0" fontId="0" fillId="13" borderId="19" xfId="0" applyFill="1" applyBorder="1" applyAlignment="1">
      <alignment vertical="center"/>
    </xf>
    <xf numFmtId="0" fontId="0" fillId="13" borderId="6" xfId="0" applyFill="1" applyBorder="1" applyAlignment="1">
      <alignment vertical="center"/>
    </xf>
    <xf numFmtId="0" fontId="9" fillId="26" borderId="1" xfId="0" applyFont="1" applyFill="1" applyBorder="1" applyAlignment="1">
      <alignment vertical="center" wrapText="1"/>
    </xf>
    <xf numFmtId="0" fontId="0" fillId="13" borderId="4" xfId="0" applyFill="1" applyBorder="1" applyAlignment="1">
      <alignment vertical="center" wrapText="1"/>
    </xf>
    <xf numFmtId="0" fontId="0" fillId="13" borderId="14" xfId="0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28" fillId="13" borderId="1" xfId="0" applyFont="1" applyFill="1" applyBorder="1" applyAlignment="1">
      <alignment vertical="center" wrapText="1"/>
    </xf>
    <xf numFmtId="14" fontId="28" fillId="13" borderId="1" xfId="0" applyNumberFormat="1" applyFont="1" applyFill="1" applyBorder="1" applyAlignment="1">
      <alignment vertical="center" wrapText="1"/>
    </xf>
    <xf numFmtId="0" fontId="28" fillId="13" borderId="4" xfId="0" applyFont="1" applyFill="1" applyBorder="1" applyAlignment="1">
      <alignment horizontal="center" vertical="center"/>
    </xf>
    <xf numFmtId="3" fontId="8" fillId="13" borderId="1" xfId="0" applyNumberFormat="1" applyFont="1" applyFill="1" applyBorder="1" applyAlignment="1">
      <alignment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43" fillId="3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8" fillId="13" borderId="1" xfId="1" applyNumberFormat="1" applyFont="1" applyFill="1" applyBorder="1" applyAlignment="1">
      <alignment horizontal="right" vertical="center" wrapText="1"/>
    </xf>
    <xf numFmtId="3" fontId="8" fillId="13" borderId="1" xfId="0" applyNumberFormat="1" applyFont="1" applyFill="1" applyBorder="1" applyAlignment="1">
      <alignment vertical="center"/>
    </xf>
    <xf numFmtId="4" fontId="8" fillId="13" borderId="1" xfId="0" applyNumberFormat="1" applyFont="1" applyFill="1" applyBorder="1" applyAlignment="1">
      <alignment horizontal="right" vertical="center"/>
    </xf>
    <xf numFmtId="3" fontId="10" fillId="13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9" fillId="3" borderId="43" xfId="1" applyFont="1" applyFill="1" applyBorder="1" applyAlignment="1">
      <alignment horizontal="center" vertical="center" wrapText="1"/>
    </xf>
    <xf numFmtId="3" fontId="7" fillId="13" borderId="42" xfId="1" applyNumberFormat="1" applyFont="1" applyFill="1" applyBorder="1" applyAlignment="1">
      <alignment horizontal="center" vertical="center" wrapText="1"/>
    </xf>
    <xf numFmtId="4" fontId="6" fillId="13" borderId="1" xfId="1" applyNumberFormat="1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33" fillId="29" borderId="4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33" fillId="4" borderId="1" xfId="0" applyFont="1" applyFill="1" applyBorder="1" applyAlignment="1">
      <alignment vertical="center"/>
    </xf>
    <xf numFmtId="0" fontId="33" fillId="4" borderId="44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1" xfId="0" applyBorder="1"/>
    <xf numFmtId="0" fontId="0" fillId="32" borderId="14" xfId="0" applyFill="1" applyBorder="1" applyAlignment="1">
      <alignment horizontal="center"/>
    </xf>
    <xf numFmtId="0" fontId="0" fillId="32" borderId="2" xfId="0" applyFill="1" applyBorder="1" applyAlignment="1">
      <alignment horizontal="center"/>
    </xf>
    <xf numFmtId="0" fontId="0" fillId="33" borderId="2" xfId="0" applyFill="1" applyBorder="1" applyAlignment="1">
      <alignment horizontal="center"/>
    </xf>
    <xf numFmtId="0" fontId="0" fillId="34" borderId="54" xfId="0" applyFill="1" applyBorder="1" applyAlignment="1">
      <alignment horizontal="center"/>
    </xf>
    <xf numFmtId="0" fontId="0" fillId="32" borderId="12" xfId="0" applyFill="1" applyBorder="1" applyAlignment="1">
      <alignment horizontal="center"/>
    </xf>
    <xf numFmtId="0" fontId="0" fillId="32" borderId="0" xfId="0" applyFill="1" applyAlignment="1">
      <alignment horizontal="center"/>
    </xf>
    <xf numFmtId="0" fontId="0" fillId="33" borderId="0" xfId="0" applyFill="1" applyAlignment="1">
      <alignment horizontal="center"/>
    </xf>
    <xf numFmtId="0" fontId="0" fillId="34" borderId="0" xfId="0" applyFill="1" applyAlignment="1">
      <alignment horizontal="center"/>
    </xf>
    <xf numFmtId="0" fontId="0" fillId="34" borderId="52" xfId="0" applyFill="1" applyBorder="1" applyAlignment="1">
      <alignment horizontal="center"/>
    </xf>
    <xf numFmtId="0" fontId="0" fillId="35" borderId="52" xfId="0" applyFill="1" applyBorder="1" applyAlignment="1">
      <alignment horizontal="center"/>
    </xf>
    <xf numFmtId="0" fontId="0" fillId="0" borderId="55" xfId="0" applyBorder="1"/>
    <xf numFmtId="0" fontId="0" fillId="0" borderId="30" xfId="0" applyBorder="1"/>
    <xf numFmtId="0" fontId="0" fillId="32" borderId="56" xfId="0" applyFill="1" applyBorder="1" applyAlignment="1">
      <alignment horizontal="center"/>
    </xf>
    <xf numFmtId="0" fontId="0" fillId="33" borderId="30" xfId="0" applyFill="1" applyBorder="1" applyAlignment="1">
      <alignment horizontal="center"/>
    </xf>
    <xf numFmtId="0" fontId="0" fillId="34" borderId="30" xfId="0" applyFill="1" applyBorder="1" applyAlignment="1">
      <alignment horizontal="center"/>
    </xf>
    <xf numFmtId="0" fontId="0" fillId="35" borderId="30" xfId="0" applyFill="1" applyBorder="1" applyAlignment="1">
      <alignment horizontal="center"/>
    </xf>
    <xf numFmtId="0" fontId="0" fillId="35" borderId="57" xfId="0" applyFill="1" applyBorder="1" applyAlignment="1">
      <alignment horizontal="center"/>
    </xf>
    <xf numFmtId="0" fontId="0" fillId="0" borderId="58" xfId="0" applyBorder="1"/>
    <xf numFmtId="0" fontId="0" fillId="0" borderId="49" xfId="0" applyBorder="1"/>
    <xf numFmtId="0" fontId="0" fillId="32" borderId="49" xfId="0" applyFill="1" applyBorder="1" applyAlignment="1">
      <alignment horizontal="center"/>
    </xf>
    <xf numFmtId="49" fontId="0" fillId="33" borderId="49" xfId="0" applyNumberFormat="1" applyFill="1" applyBorder="1" applyAlignment="1">
      <alignment horizontal="center"/>
    </xf>
    <xf numFmtId="0" fontId="0" fillId="34" borderId="49" xfId="0" applyFill="1" applyBorder="1" applyAlignment="1">
      <alignment horizontal="center"/>
    </xf>
    <xf numFmtId="0" fontId="0" fillId="35" borderId="50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7" xfId="0" applyBorder="1" applyAlignment="1">
      <alignment horizontal="center"/>
    </xf>
    <xf numFmtId="0" fontId="50" fillId="0" borderId="0" xfId="0" applyFont="1" applyAlignment="1">
      <alignment horizontal="center" vertical="center" wrapText="1"/>
    </xf>
    <xf numFmtId="0" fontId="0" fillId="0" borderId="52" xfId="0" applyBorder="1"/>
    <xf numFmtId="0" fontId="0" fillId="0" borderId="5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52" fillId="36" borderId="1" xfId="0" applyFont="1" applyFill="1" applyBorder="1" applyAlignment="1">
      <alignment vertical="center"/>
    </xf>
    <xf numFmtId="0" fontId="51" fillId="36" borderId="1" xfId="0" applyFont="1" applyFill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53" fillId="0" borderId="0" xfId="0" applyFont="1" applyAlignment="1">
      <alignment vertical="center"/>
    </xf>
    <xf numFmtId="0" fontId="51" fillId="36" borderId="1" xfId="0" applyFont="1" applyFill="1" applyBorder="1" applyAlignment="1">
      <alignment horizontal="center" vertical="center"/>
    </xf>
    <xf numFmtId="0" fontId="51" fillId="36" borderId="1" xfId="0" applyFont="1" applyFill="1" applyBorder="1" applyAlignment="1">
      <alignment horizontal="center" vertical="center" wrapText="1"/>
    </xf>
    <xf numFmtId="0" fontId="51" fillId="36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3" fillId="5" borderId="1" xfId="0" applyFont="1" applyFill="1" applyBorder="1" applyAlignment="1">
      <alignment horizontal="center" vertical="center"/>
    </xf>
    <xf numFmtId="0" fontId="52" fillId="5" borderId="1" xfId="0" applyFont="1" applyFill="1" applyBorder="1" applyAlignment="1">
      <alignment vertical="center"/>
    </xf>
    <xf numFmtId="0" fontId="52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/>
    </xf>
    <xf numFmtId="0" fontId="52" fillId="29" borderId="1" xfId="0" applyFont="1" applyFill="1" applyBorder="1" applyAlignment="1">
      <alignment horizontal="center" vertical="center"/>
    </xf>
    <xf numFmtId="0" fontId="52" fillId="29" borderId="1" xfId="0" applyFont="1" applyFill="1" applyBorder="1" applyAlignment="1">
      <alignment horizontal="left" vertical="center" wrapText="1"/>
    </xf>
    <xf numFmtId="0" fontId="53" fillId="29" borderId="1" xfId="0" applyFont="1" applyFill="1" applyBorder="1" applyAlignment="1">
      <alignment horizontal="left" vertical="center" wrapText="1"/>
    </xf>
    <xf numFmtId="0" fontId="53" fillId="0" borderId="1" xfId="0" applyFont="1" applyBorder="1" applyAlignment="1">
      <alignment vertical="center" wrapText="1"/>
    </xf>
    <xf numFmtId="0" fontId="53" fillId="2" borderId="1" xfId="0" applyFont="1" applyFill="1" applyBorder="1" applyAlignment="1">
      <alignment vertical="center" wrapText="1"/>
    </xf>
    <xf numFmtId="0" fontId="57" fillId="13" borderId="1" xfId="0" applyFont="1" applyFill="1" applyBorder="1" applyAlignment="1">
      <alignment vertical="center" wrapText="1"/>
    </xf>
    <xf numFmtId="164" fontId="53" fillId="0" borderId="1" xfId="0" applyNumberFormat="1" applyFont="1" applyBorder="1" applyAlignment="1">
      <alignment vertical="center"/>
    </xf>
    <xf numFmtId="0" fontId="58" fillId="13" borderId="1" xfId="0" applyFont="1" applyFill="1" applyBorder="1" applyAlignment="1">
      <alignment vertical="center" wrapText="1"/>
    </xf>
    <xf numFmtId="0" fontId="53" fillId="13" borderId="1" xfId="0" applyFont="1" applyFill="1" applyBorder="1" applyAlignment="1">
      <alignment vertical="center" wrapText="1"/>
    </xf>
    <xf numFmtId="0" fontId="52" fillId="18" borderId="1" xfId="0" applyFont="1" applyFill="1" applyBorder="1" applyAlignment="1">
      <alignment horizontal="center" vertical="center"/>
    </xf>
    <xf numFmtId="0" fontId="52" fillId="18" borderId="1" xfId="0" applyFont="1" applyFill="1" applyBorder="1" applyAlignment="1">
      <alignment horizontal="left" vertical="center" wrapText="1"/>
    </xf>
    <xf numFmtId="0" fontId="58" fillId="18" borderId="1" xfId="0" applyFont="1" applyFill="1" applyBorder="1" applyAlignment="1">
      <alignment horizontal="left" vertical="center" wrapText="1"/>
    </xf>
    <xf numFmtId="0" fontId="58" fillId="0" borderId="1" xfId="0" applyFont="1" applyBorder="1" applyAlignment="1">
      <alignment vertical="center"/>
    </xf>
    <xf numFmtId="0" fontId="59" fillId="18" borderId="1" xfId="0" applyFont="1" applyFill="1" applyBorder="1" applyAlignment="1">
      <alignment horizontal="left" vertical="center" wrapText="1"/>
    </xf>
    <xf numFmtId="0" fontId="59" fillId="18" borderId="1" xfId="0" applyFont="1" applyFill="1" applyBorder="1" applyAlignment="1">
      <alignment horizontal="center" vertical="center"/>
    </xf>
    <xf numFmtId="0" fontId="58" fillId="20" borderId="1" xfId="0" applyFont="1" applyFill="1" applyBorder="1" applyAlignment="1">
      <alignment vertical="center" wrapText="1"/>
    </xf>
    <xf numFmtId="164" fontId="58" fillId="0" borderId="1" xfId="0" applyNumberFormat="1" applyFont="1" applyBorder="1" applyAlignment="1">
      <alignment vertical="center"/>
    </xf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vertical="center" wrapText="1"/>
    </xf>
    <xf numFmtId="0" fontId="17" fillId="13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37" borderId="1" xfId="0" applyFont="1" applyFill="1" applyBorder="1" applyAlignment="1">
      <alignment vertical="center"/>
    </xf>
    <xf numFmtId="0" fontId="9" fillId="36" borderId="1" xfId="0" applyFont="1" applyFill="1" applyBorder="1" applyAlignment="1">
      <alignment vertical="center" wrapText="1"/>
    </xf>
    <xf numFmtId="0" fontId="9" fillId="36" borderId="1" xfId="0" applyFont="1" applyFill="1" applyBorder="1" applyAlignment="1">
      <alignment horizontal="center" vertical="center" wrapText="1"/>
    </xf>
    <xf numFmtId="0" fontId="9" fillId="36" borderId="1" xfId="0" applyFont="1" applyFill="1" applyBorder="1" applyAlignment="1">
      <alignment vertical="center"/>
    </xf>
    <xf numFmtId="0" fontId="9" fillId="36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7" fillId="38" borderId="1" xfId="0" applyFont="1" applyFill="1" applyBorder="1" applyAlignment="1">
      <alignment horizontal="right"/>
    </xf>
    <xf numFmtId="0" fontId="7" fillId="17" borderId="1" xfId="0" applyFont="1" applyFill="1" applyBorder="1" applyAlignment="1">
      <alignment horizontal="center"/>
    </xf>
    <xf numFmtId="3" fontId="37" fillId="0" borderId="35" xfId="0" applyNumberFormat="1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6" fillId="30" borderId="39" xfId="0" applyFont="1" applyFill="1" applyBorder="1" applyAlignment="1">
      <alignment horizontal="left" vertical="center" wrapText="1"/>
    </xf>
    <xf numFmtId="0" fontId="36" fillId="30" borderId="40" xfId="0" applyFont="1" applyFill="1" applyBorder="1" applyAlignment="1">
      <alignment horizontal="left" vertical="center" wrapText="1"/>
    </xf>
    <xf numFmtId="0" fontId="36" fillId="30" borderId="41" xfId="0" applyFont="1" applyFill="1" applyBorder="1" applyAlignment="1">
      <alignment horizontal="left" vertical="center" wrapText="1"/>
    </xf>
    <xf numFmtId="0" fontId="45" fillId="0" borderId="36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5" fillId="0" borderId="37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5" fillId="0" borderId="38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5" fillId="0" borderId="35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5" fillId="0" borderId="33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5" fillId="0" borderId="32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6" fillId="30" borderId="35" xfId="0" applyFont="1" applyFill="1" applyBorder="1" applyAlignment="1">
      <alignment horizontal="left" vertical="center" wrapText="1"/>
    </xf>
    <xf numFmtId="0" fontId="46" fillId="30" borderId="33" xfId="0" applyFont="1" applyFill="1" applyBorder="1" applyAlignment="1">
      <alignment horizontal="left" vertical="center" wrapText="1"/>
    </xf>
    <xf numFmtId="0" fontId="46" fillId="30" borderId="32" xfId="0" applyFont="1" applyFill="1" applyBorder="1" applyAlignment="1">
      <alignment horizontal="left" vertical="center" wrapText="1"/>
    </xf>
    <xf numFmtId="0" fontId="36" fillId="30" borderId="24" xfId="0" applyFont="1" applyFill="1" applyBorder="1" applyAlignment="1">
      <alignment horizontal="left" vertical="center" wrapText="1"/>
    </xf>
    <xf numFmtId="0" fontId="36" fillId="30" borderId="25" xfId="0" applyFont="1" applyFill="1" applyBorder="1" applyAlignment="1">
      <alignment horizontal="left" vertical="center" wrapText="1"/>
    </xf>
    <xf numFmtId="0" fontId="36" fillId="30" borderId="26" xfId="0" applyFont="1" applyFill="1" applyBorder="1" applyAlignment="1">
      <alignment horizontal="left" vertical="center" wrapText="1"/>
    </xf>
    <xf numFmtId="0" fontId="47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39" fillId="31" borderId="36" xfId="0" applyFont="1" applyFill="1" applyBorder="1" applyAlignment="1">
      <alignment horizontal="center" vertical="center" wrapText="1"/>
    </xf>
    <xf numFmtId="0" fontId="39" fillId="31" borderId="37" xfId="0" applyFont="1" applyFill="1" applyBorder="1" applyAlignment="1">
      <alignment horizontal="center" vertical="center" wrapText="1"/>
    </xf>
    <xf numFmtId="0" fontId="39" fillId="31" borderId="38" xfId="0" applyFont="1" applyFill="1" applyBorder="1" applyAlignment="1">
      <alignment horizontal="center" vertical="center" wrapText="1"/>
    </xf>
    <xf numFmtId="0" fontId="43" fillId="30" borderId="1" xfId="0" applyFont="1" applyFill="1" applyBorder="1" applyAlignment="1">
      <alignment horizontal="center" vertical="center" wrapText="1"/>
    </xf>
    <xf numFmtId="0" fontId="42" fillId="0" borderId="35" xfId="0" applyFont="1" applyBorder="1" applyAlignment="1">
      <alignment horizontal="left" vertical="center" wrapText="1"/>
    </xf>
    <xf numFmtId="0" fontId="42" fillId="0" borderId="33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5" fillId="0" borderId="36" xfId="0" applyFont="1" applyBorder="1" applyAlignment="1">
      <alignment horizontal="left" vertical="center" wrapText="1"/>
    </xf>
    <xf numFmtId="0" fontId="45" fillId="0" borderId="37" xfId="0" applyFont="1" applyBorder="1" applyAlignment="1">
      <alignment horizontal="left" vertical="center" wrapText="1"/>
    </xf>
    <xf numFmtId="0" fontId="45" fillId="0" borderId="38" xfId="0" applyFont="1" applyBorder="1" applyAlignment="1">
      <alignment horizontal="left" vertical="center" wrapText="1"/>
    </xf>
    <xf numFmtId="0" fontId="45" fillId="0" borderId="35" xfId="0" applyFont="1" applyBorder="1" applyAlignment="1">
      <alignment horizontal="left" vertical="center" wrapText="1"/>
    </xf>
    <xf numFmtId="0" fontId="45" fillId="0" borderId="33" xfId="0" applyFont="1" applyBorder="1" applyAlignment="1">
      <alignment horizontal="left" vertical="center" wrapText="1"/>
    </xf>
    <xf numFmtId="0" fontId="45" fillId="0" borderId="32" xfId="0" applyFont="1" applyBorder="1" applyAlignment="1">
      <alignment horizontal="left" vertical="center" wrapText="1"/>
    </xf>
    <xf numFmtId="0" fontId="43" fillId="30" borderId="24" xfId="0" applyFont="1" applyFill="1" applyBorder="1" applyAlignment="1">
      <alignment horizontal="left" vertical="center" wrapText="1"/>
    </xf>
    <xf numFmtId="0" fontId="43" fillId="30" borderId="25" xfId="0" applyFont="1" applyFill="1" applyBorder="1" applyAlignment="1">
      <alignment horizontal="left" vertical="center" wrapText="1"/>
    </xf>
    <xf numFmtId="0" fontId="43" fillId="30" borderId="26" xfId="0" applyFont="1" applyFill="1" applyBorder="1" applyAlignment="1">
      <alignment horizontal="left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6" fillId="30" borderId="36" xfId="0" applyFont="1" applyFill="1" applyBorder="1" applyAlignment="1">
      <alignment horizontal="left" vertical="center" wrapText="1"/>
    </xf>
    <xf numFmtId="0" fontId="36" fillId="30" borderId="37" xfId="0" applyFont="1" applyFill="1" applyBorder="1" applyAlignment="1">
      <alignment horizontal="left" vertical="center" wrapText="1"/>
    </xf>
    <xf numFmtId="0" fontId="36" fillId="30" borderId="38" xfId="0" applyFont="1" applyFill="1" applyBorder="1" applyAlignment="1">
      <alignment horizontal="left" vertical="center" wrapText="1"/>
    </xf>
    <xf numFmtId="0" fontId="36" fillId="30" borderId="27" xfId="0" applyFont="1" applyFill="1" applyBorder="1" applyAlignment="1">
      <alignment horizontal="left" vertical="center" wrapText="1"/>
    </xf>
    <xf numFmtId="0" fontId="36" fillId="30" borderId="0" xfId="0" applyFont="1" applyFill="1" applyAlignment="1">
      <alignment horizontal="left" vertical="center" wrapText="1"/>
    </xf>
    <xf numFmtId="0" fontId="36" fillId="30" borderId="28" xfId="0" applyFont="1" applyFill="1" applyBorder="1" applyAlignment="1">
      <alignment horizontal="left" vertical="center" wrapText="1"/>
    </xf>
    <xf numFmtId="0" fontId="36" fillId="30" borderId="35" xfId="0" applyFont="1" applyFill="1" applyBorder="1" applyAlignment="1">
      <alignment horizontal="left" vertical="center" wrapText="1"/>
    </xf>
    <xf numFmtId="0" fontId="36" fillId="30" borderId="33" xfId="0" applyFont="1" applyFill="1" applyBorder="1" applyAlignment="1">
      <alignment horizontal="left" vertical="center" wrapText="1"/>
    </xf>
    <xf numFmtId="0" fontId="36" fillId="30" borderId="32" xfId="0" applyFont="1" applyFill="1" applyBorder="1" applyAlignment="1">
      <alignment horizontal="left" vertical="center" wrapText="1"/>
    </xf>
    <xf numFmtId="0" fontId="42" fillId="0" borderId="36" xfId="0" applyFont="1" applyBorder="1" applyAlignment="1">
      <alignment horizontal="left" vertical="center" wrapText="1"/>
    </xf>
    <xf numFmtId="0" fontId="42" fillId="0" borderId="37" xfId="0" applyFont="1" applyBorder="1" applyAlignment="1">
      <alignment horizontal="left" vertical="center" wrapText="1"/>
    </xf>
    <xf numFmtId="0" fontId="42" fillId="0" borderId="3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39" fillId="31" borderId="24" xfId="0" applyFont="1" applyFill="1" applyBorder="1" applyAlignment="1">
      <alignment horizontal="center" vertical="center" wrapText="1"/>
    </xf>
    <xf numFmtId="0" fontId="39" fillId="31" borderId="25" xfId="0" applyFont="1" applyFill="1" applyBorder="1" applyAlignment="1">
      <alignment horizontal="center" vertical="center" wrapText="1"/>
    </xf>
    <xf numFmtId="0" fontId="39" fillId="31" borderId="26" xfId="0" applyFont="1" applyFill="1" applyBorder="1" applyAlignment="1">
      <alignment horizontal="center" vertical="center" wrapText="1"/>
    </xf>
    <xf numFmtId="0" fontId="36" fillId="30" borderId="36" xfId="0" applyFont="1" applyFill="1" applyBorder="1" applyAlignment="1">
      <alignment horizontal="center" vertical="center" wrapText="1"/>
    </xf>
    <xf numFmtId="0" fontId="36" fillId="30" borderId="37" xfId="0" applyFont="1" applyFill="1" applyBorder="1" applyAlignment="1">
      <alignment horizontal="center" vertical="center" wrapText="1"/>
    </xf>
    <xf numFmtId="0" fontId="36" fillId="30" borderId="38" xfId="0" applyFont="1" applyFill="1" applyBorder="1" applyAlignment="1">
      <alignment horizontal="center" vertical="center" wrapText="1"/>
    </xf>
    <xf numFmtId="0" fontId="36" fillId="30" borderId="35" xfId="0" applyFont="1" applyFill="1" applyBorder="1" applyAlignment="1">
      <alignment horizontal="center" vertical="center" wrapText="1"/>
    </xf>
    <xf numFmtId="0" fontId="36" fillId="30" borderId="33" xfId="0" applyFont="1" applyFill="1" applyBorder="1" applyAlignment="1">
      <alignment horizontal="center" vertical="center" wrapText="1"/>
    </xf>
    <xf numFmtId="0" fontId="36" fillId="30" borderId="32" xfId="0" applyFont="1" applyFill="1" applyBorder="1" applyAlignment="1">
      <alignment horizontal="center" vertical="center" wrapText="1"/>
    </xf>
    <xf numFmtId="0" fontId="41" fillId="0" borderId="3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35" xfId="0" applyFont="1" applyBorder="1" applyAlignment="1">
      <alignment horizontal="left" vertical="center" wrapText="1"/>
    </xf>
    <xf numFmtId="0" fontId="0" fillId="0" borderId="35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36" fillId="31" borderId="24" xfId="0" applyFont="1" applyFill="1" applyBorder="1" applyAlignment="1">
      <alignment horizontal="left" vertical="center" wrapText="1"/>
    </xf>
    <xf numFmtId="0" fontId="36" fillId="31" borderId="25" xfId="0" applyFont="1" applyFill="1" applyBorder="1" applyAlignment="1">
      <alignment horizontal="left" vertical="center" wrapText="1"/>
    </xf>
    <xf numFmtId="0" fontId="36" fillId="31" borderId="26" xfId="0" applyFont="1" applyFill="1" applyBorder="1" applyAlignment="1">
      <alignment horizontal="left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0" borderId="37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0" borderId="38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0" borderId="35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0" borderId="33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0" borderId="32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30" borderId="35" xfId="0" applyFont="1" applyFill="1" applyBorder="1" applyAlignment="1">
      <alignment horizontal="center" vertical="center" wrapText="1"/>
    </xf>
    <xf numFmtId="0" fontId="40" fillId="30" borderId="33" xfId="0" applyFont="1" applyFill="1" applyBorder="1" applyAlignment="1">
      <alignment horizontal="center" vertical="center" wrapText="1"/>
    </xf>
    <xf numFmtId="0" fontId="40" fillId="30" borderId="32" xfId="0" applyFont="1" applyFill="1" applyBorder="1" applyAlignment="1">
      <alignment horizontal="center" vertical="center" wrapText="1"/>
    </xf>
    <xf numFmtId="0" fontId="35" fillId="31" borderId="24" xfId="0" applyFont="1" applyFill="1" applyBorder="1" applyAlignment="1">
      <alignment horizontal="center" vertical="center" wrapText="1"/>
    </xf>
    <xf numFmtId="0" fontId="35" fillId="31" borderId="25" xfId="0" applyFont="1" applyFill="1" applyBorder="1" applyAlignment="1">
      <alignment horizontal="center" vertical="center" wrapText="1"/>
    </xf>
    <xf numFmtId="0" fontId="35" fillId="31" borderId="26" xfId="0" applyFont="1" applyFill="1" applyBorder="1" applyAlignment="1">
      <alignment horizontal="center" vertical="center" wrapText="1"/>
    </xf>
    <xf numFmtId="0" fontId="36" fillId="30" borderId="29" xfId="0" applyFont="1" applyFill="1" applyBorder="1" applyAlignment="1">
      <alignment horizontal="left" vertical="center" wrapText="1"/>
    </xf>
    <xf numFmtId="0" fontId="36" fillId="30" borderId="30" xfId="0" applyFont="1" applyFill="1" applyBorder="1" applyAlignment="1">
      <alignment horizontal="left" vertical="center" wrapText="1"/>
    </xf>
    <xf numFmtId="0" fontId="36" fillId="30" borderId="31" xfId="0" applyFont="1" applyFill="1" applyBorder="1" applyAlignment="1">
      <alignment horizontal="left" vertical="center" wrapText="1"/>
    </xf>
    <xf numFmtId="0" fontId="37" fillId="0" borderId="36" xfId="0" applyFont="1" applyBorder="1" applyAlignment="1">
      <alignment horizontal="left" vertical="center" wrapText="1"/>
    </xf>
    <xf numFmtId="0" fontId="37" fillId="0" borderId="37" xfId="0" applyFont="1" applyBorder="1" applyAlignment="1">
      <alignment horizontal="left" vertical="center" wrapText="1"/>
    </xf>
    <xf numFmtId="0" fontId="37" fillId="0" borderId="38" xfId="0" applyFont="1" applyBorder="1" applyAlignment="1">
      <alignment horizontal="left" vertical="center" wrapText="1"/>
    </xf>
    <xf numFmtId="0" fontId="37" fillId="0" borderId="35" xfId="0" applyFont="1" applyBorder="1" applyAlignment="1">
      <alignment horizontal="left" vertical="center" wrapText="1"/>
    </xf>
    <xf numFmtId="0" fontId="37" fillId="0" borderId="33" xfId="0" applyFont="1" applyBorder="1" applyAlignment="1">
      <alignment horizontal="left" vertical="center" wrapText="1"/>
    </xf>
    <xf numFmtId="0" fontId="37" fillId="0" borderId="32" xfId="0" applyFont="1" applyBorder="1" applyAlignment="1">
      <alignment horizontal="left" vertical="center" wrapText="1"/>
    </xf>
    <xf numFmtId="0" fontId="36" fillId="30" borderId="39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6" fillId="30" borderId="40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6" fillId="30" borderId="41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6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6" fillId="12" borderId="4" xfId="1" applyFont="1" applyFill="1" applyBorder="1" applyAlignment="1">
      <alignment horizontal="center" vertical="center" wrapText="1"/>
    </xf>
    <xf numFmtId="0" fontId="6" fillId="12" borderId="8" xfId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10" fillId="27" borderId="1" xfId="0" applyFont="1" applyFill="1" applyBorder="1" applyAlignment="1">
      <alignment horizontal="center" vertical="center"/>
    </xf>
    <xf numFmtId="0" fontId="10" fillId="27" borderId="8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18" fillId="19" borderId="4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vertical="center" wrapText="1"/>
    </xf>
    <xf numFmtId="0" fontId="7" fillId="28" borderId="10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8" fillId="13" borderId="45" xfId="0" applyFont="1" applyFill="1" applyBorder="1" applyAlignment="1">
      <alignment horizontal="center" vertical="center"/>
    </xf>
    <xf numFmtId="0" fontId="48" fillId="13" borderId="40" xfId="0" applyFont="1" applyFill="1" applyBorder="1" applyAlignment="1">
      <alignment horizontal="center" vertical="center"/>
    </xf>
    <xf numFmtId="0" fontId="48" fillId="13" borderId="46" xfId="0" applyFont="1" applyFill="1" applyBorder="1" applyAlignment="1">
      <alignment horizontal="center" vertical="center"/>
    </xf>
    <xf numFmtId="0" fontId="48" fillId="13" borderId="51" xfId="0" applyFont="1" applyFill="1" applyBorder="1" applyAlignment="1">
      <alignment horizontal="center" vertical="center"/>
    </xf>
    <xf numFmtId="0" fontId="48" fillId="13" borderId="0" xfId="0" applyFont="1" applyFill="1" applyAlignment="1">
      <alignment horizontal="center" vertical="center"/>
    </xf>
    <xf numFmtId="0" fontId="48" fillId="13" borderId="52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51" fillId="36" borderId="1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8" xfId="0" applyFont="1" applyFill="1" applyBorder="1" applyAlignment="1">
      <alignment horizontal="center" vertical="center" wrapText="1"/>
    </xf>
    <xf numFmtId="0" fontId="9" fillId="37" borderId="4" xfId="0" applyFont="1" applyFill="1" applyBorder="1" applyAlignment="1">
      <alignment horizontal="center" vertical="center"/>
    </xf>
    <xf numFmtId="0" fontId="9" fillId="37" borderId="7" xfId="0" applyFont="1" applyFill="1" applyBorder="1" applyAlignment="1">
      <alignment horizontal="center" vertical="center"/>
    </xf>
    <xf numFmtId="0" fontId="9" fillId="37" borderId="8" xfId="0" applyFont="1" applyFill="1" applyBorder="1" applyAlignment="1">
      <alignment horizontal="center" vertical="center"/>
    </xf>
    <xf numFmtId="0" fontId="9" fillId="36" borderId="1" xfId="0" applyFont="1" applyFill="1" applyBorder="1" applyAlignment="1">
      <alignment horizontal="center" vertical="center" wrapText="1"/>
    </xf>
    <xf numFmtId="0" fontId="7" fillId="36" borderId="1" xfId="0" applyFont="1" applyFill="1" applyBorder="1" applyAlignment="1">
      <alignment horizontal="center" vertical="center"/>
    </xf>
    <xf numFmtId="0" fontId="9" fillId="3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36" borderId="4" xfId="0" applyFont="1" applyFill="1" applyBorder="1" applyAlignment="1">
      <alignment horizontal="center" vertical="center" wrapText="1"/>
    </xf>
    <xf numFmtId="0" fontId="9" fillId="36" borderId="8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</cellXfs>
  <cellStyles count="6">
    <cellStyle name="Celda de comprobación" xfId="3" builtinId="23"/>
    <cellStyle name="Hipervínculo" xfId="2" builtinId="8"/>
    <cellStyle name="Neutral 2" xfId="4"/>
    <cellStyle name="Normal" xfId="0" builtinId="0"/>
    <cellStyle name="Normal 2" xfId="5"/>
    <cellStyle name="Normal_DBO5, SS, TURBIDEZ" xfId="1"/>
  </cellStyles>
  <dxfs count="3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vertical="center" textRotation="0" wrapText="1" indent="0" justifyLastLine="0" shrinkToFit="0" readingOrder="0"/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sz val="10"/>
        <color rgb="FFFF0000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i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000000"/>
          <bgColor rgb="FFFFF2CC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i/>
        <strike val="0"/>
        <outline val="0"/>
        <shadow val="0"/>
        <u val="none"/>
        <vertAlign val="baseline"/>
        <sz val="9"/>
        <color theme="1" tint="0.49998474074526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fill>
        <patternFill patternType="solid">
          <fgColor rgb="FF000000"/>
          <bgColor rgb="FFFFF2CC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2CC"/>
        </patternFill>
      </fill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3" formatCode="#,##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2" formatCode="mmm\-yy"/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2" formatCode="mmm\-yy"/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2" formatCode="mmm\-yy"/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2" formatCode="mmm\-yy"/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2" formatCode="mmm\-yy"/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111B0B"/>
      <color rgb="FF1E2F13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7.png"/><Relationship Id="rId7" Type="http://schemas.openxmlformats.org/officeDocument/2006/relationships/image" Target="../media/image10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5" Type="http://schemas.microsoft.com/office/2007/relationships/hdphoto" Target="../media/hdphoto1.wdp"/><Relationship Id="rId10" Type="http://schemas.openxmlformats.org/officeDocument/2006/relationships/image" Target="../media/image13.png"/><Relationship Id="rId4" Type="http://schemas.openxmlformats.org/officeDocument/2006/relationships/image" Target="../media/image8.png"/><Relationship Id="rId9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13</xdr:col>
      <xdr:colOff>122464</xdr:colOff>
      <xdr:row>5</xdr:row>
      <xdr:rowOff>122464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462643"/>
          <a:ext cx="8912678" cy="1524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Completar</a:t>
          </a:r>
          <a:r>
            <a:rPr lang="es-E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las celdas con fondo amarillo</a:t>
          </a:r>
          <a:endParaRPr lang="es-ES">
            <a:effectLst/>
          </a:endParaRPr>
        </a:p>
        <a:p>
          <a:endParaRPr lang="es-ES_trad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_trad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La caracterización de la calidad del agua abarcará lo siguiente: </a:t>
          </a:r>
          <a:endParaRPr lang="es-E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s-ES_trad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los parámetros establecidos en la tabla I-1 del anexo I.1 del Reglamento </a:t>
          </a:r>
          <a:r>
            <a:rPr lang="es-E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reutilización</a:t>
          </a:r>
          <a:r>
            <a:rPr lang="es-E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del agua.</a:t>
          </a:r>
          <a:endParaRPr lang="es-E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s-ES_trad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los parámetros objeto de seguimiento en el efluente de la estación depuradora de aguas residuales urbanas, tratadas de conformidad con la Directiva 91/271/CEE </a:t>
          </a:r>
          <a:endParaRPr lang="es-E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s-ES_trad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los parámetros incluidos en la</a:t>
          </a:r>
          <a:r>
            <a:rPr lang="es-ES" sz="1100" i="1">
              <a:solidFill>
                <a:sysClr val="windowText" lastClr="000000"/>
              </a:solidFill>
            </a:rPr>
            <a:t> autorización de vertido vigente, por considerarse parámetros característicos del agua residual.</a:t>
          </a:r>
        </a:p>
        <a:p>
          <a:r>
            <a:rPr lang="es-ES_trad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los parámetros  ambientales determinados como agentes peligrosos en el PGRAR.</a:t>
          </a:r>
          <a:endParaRPr lang="es-ES" sz="11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375558</xdr:colOff>
      <xdr:row>0</xdr:row>
      <xdr:rowOff>28575</xdr:rowOff>
    </xdr:from>
    <xdr:to>
      <xdr:col>21</xdr:col>
      <xdr:colOff>318639</xdr:colOff>
      <xdr:row>37</xdr:row>
      <xdr:rowOff>119671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87058" y="28575"/>
          <a:ext cx="6801082" cy="694909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592545</xdr:colOff>
      <xdr:row>0</xdr:row>
      <xdr:rowOff>0</xdr:rowOff>
    </xdr:from>
    <xdr:to>
      <xdr:col>19</xdr:col>
      <xdr:colOff>247247</xdr:colOff>
      <xdr:row>23</xdr:row>
      <xdr:rowOff>130716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03402" y="0"/>
          <a:ext cx="6512702" cy="508457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640257</xdr:colOff>
      <xdr:row>24</xdr:row>
      <xdr:rowOff>113762</xdr:rowOff>
    </xdr:from>
    <xdr:to>
      <xdr:col>23</xdr:col>
      <xdr:colOff>2501441</xdr:colOff>
      <xdr:row>41</xdr:row>
      <xdr:rowOff>8965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819B538A-DFBB-4ED6-BE8F-D199D0E40D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9009"/>
        <a:stretch/>
      </xdr:blipFill>
      <xdr:spPr>
        <a:xfrm>
          <a:off x="24452757" y="4771487"/>
          <a:ext cx="6947534" cy="3133703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5</xdr:row>
      <xdr:rowOff>9525</xdr:rowOff>
    </xdr:from>
    <xdr:to>
      <xdr:col>17</xdr:col>
      <xdr:colOff>514350</xdr:colOff>
      <xdr:row>36</xdr:row>
      <xdr:rowOff>55360</xdr:rowOff>
    </xdr:to>
    <xdr:pic>
      <xdr:nvPicPr>
        <xdr:cNvPr id="3" name="Imagen 10">
          <a:extLst>
            <a:ext uri="{FF2B5EF4-FFF2-40B4-BE49-F238E27FC236}">
              <a16:creationId xmlns:a16="http://schemas.microsoft.com/office/drawing/2014/main" id="{25FBFA9D-6B69-4B19-A5F9-FE79456F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59400" y="1019175"/>
          <a:ext cx="6267450" cy="5979910"/>
        </a:xfrm>
        <a:prstGeom prst="rect">
          <a:avLst/>
        </a:prstGeom>
      </xdr:spPr>
    </xdr:pic>
    <xdr:clientData/>
  </xdr:twoCellAnchor>
  <xdr:twoCellAnchor editAs="oneCell">
    <xdr:from>
      <xdr:col>9</xdr:col>
      <xdr:colOff>466726</xdr:colOff>
      <xdr:row>37</xdr:row>
      <xdr:rowOff>22861</xdr:rowOff>
    </xdr:from>
    <xdr:to>
      <xdr:col>17</xdr:col>
      <xdr:colOff>563881</xdr:colOff>
      <xdr:row>55</xdr:row>
      <xdr:rowOff>71891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84178B5F-C623-47F2-BF39-4D5DA5E03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497426" y="7157086"/>
          <a:ext cx="6878955" cy="3478030"/>
        </a:xfrm>
        <a:prstGeom prst="rect">
          <a:avLst/>
        </a:prstGeom>
      </xdr:spPr>
    </xdr:pic>
    <xdr:clientData/>
  </xdr:twoCellAnchor>
  <xdr:twoCellAnchor editAs="oneCell">
    <xdr:from>
      <xdr:col>25</xdr:col>
      <xdr:colOff>76200</xdr:colOff>
      <xdr:row>5</xdr:row>
      <xdr:rowOff>66674</xdr:rowOff>
    </xdr:from>
    <xdr:to>
      <xdr:col>32</xdr:col>
      <xdr:colOff>842010</xdr:colOff>
      <xdr:row>52</xdr:row>
      <xdr:rowOff>138138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A5062579-7244-41DF-89BE-562B79586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394525" y="1076324"/>
          <a:ext cx="6699885" cy="9053539"/>
        </a:xfrm>
        <a:prstGeom prst="rect">
          <a:avLst/>
        </a:prstGeom>
      </xdr:spPr>
    </xdr:pic>
    <xdr:clientData/>
  </xdr:twoCellAnchor>
  <xdr:twoCellAnchor editAs="oneCell">
    <xdr:from>
      <xdr:col>33</xdr:col>
      <xdr:colOff>47625</xdr:colOff>
      <xdr:row>4</xdr:row>
      <xdr:rowOff>133350</xdr:rowOff>
    </xdr:from>
    <xdr:to>
      <xdr:col>37</xdr:col>
      <xdr:colOff>201485</xdr:colOff>
      <xdr:row>18</xdr:row>
      <xdr:rowOff>94923</xdr:rowOff>
    </xdr:to>
    <xdr:pic>
      <xdr:nvPicPr>
        <xdr:cNvPr id="6" name="Imagen 10">
          <a:extLst>
            <a:ext uri="{FF2B5EF4-FFF2-40B4-BE49-F238E27FC236}">
              <a16:creationId xmlns:a16="http://schemas.microsoft.com/office/drawing/2014/main" id="{23021515-F38D-4FC3-865B-1D50CD676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147750" y="962025"/>
          <a:ext cx="3544761" cy="2647623"/>
        </a:xfrm>
        <a:prstGeom prst="rect">
          <a:avLst/>
        </a:prstGeom>
      </xdr:spPr>
    </xdr:pic>
    <xdr:clientData/>
  </xdr:twoCellAnchor>
  <xdr:twoCellAnchor editAs="oneCell">
    <xdr:from>
      <xdr:col>37</xdr:col>
      <xdr:colOff>828675</xdr:colOff>
      <xdr:row>4</xdr:row>
      <xdr:rowOff>171450</xdr:rowOff>
    </xdr:from>
    <xdr:to>
      <xdr:col>42</xdr:col>
      <xdr:colOff>77667</xdr:colOff>
      <xdr:row>17</xdr:row>
      <xdr:rowOff>150188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831B2C13-C149-414B-9950-D85631EEC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319700" y="1000125"/>
          <a:ext cx="3820992" cy="2474288"/>
        </a:xfrm>
        <a:prstGeom prst="rect">
          <a:avLst/>
        </a:prstGeom>
      </xdr:spPr>
    </xdr:pic>
    <xdr:clientData/>
  </xdr:twoCellAnchor>
  <xdr:twoCellAnchor editAs="oneCell">
    <xdr:from>
      <xdr:col>42</xdr:col>
      <xdr:colOff>266700</xdr:colOff>
      <xdr:row>6</xdr:row>
      <xdr:rowOff>19050</xdr:rowOff>
    </xdr:from>
    <xdr:to>
      <xdr:col>45</xdr:col>
      <xdr:colOff>1687369</xdr:colOff>
      <xdr:row>32</xdr:row>
      <xdr:rowOff>83196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8BA55DCB-3BC9-4A62-8FEB-126AF244E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329725" y="1219200"/>
          <a:ext cx="3963843" cy="5045721"/>
        </a:xfrm>
        <a:prstGeom prst="rect">
          <a:avLst/>
        </a:prstGeom>
      </xdr:spPr>
    </xdr:pic>
    <xdr:clientData/>
  </xdr:twoCellAnchor>
  <xdr:twoCellAnchor editAs="oneCell">
    <xdr:from>
      <xdr:col>33</xdr:col>
      <xdr:colOff>219075</xdr:colOff>
      <xdr:row>30</xdr:row>
      <xdr:rowOff>140970</xdr:rowOff>
    </xdr:from>
    <xdr:to>
      <xdr:col>42</xdr:col>
      <xdr:colOff>317165</xdr:colOff>
      <xdr:row>53</xdr:row>
      <xdr:rowOff>153756</xdr:rowOff>
    </xdr:to>
    <xdr:pic>
      <xdr:nvPicPr>
        <xdr:cNvPr id="9" name="Imagen 13">
          <a:extLst>
            <a:ext uri="{FF2B5EF4-FFF2-40B4-BE49-F238E27FC236}">
              <a16:creationId xmlns:a16="http://schemas.microsoft.com/office/drawing/2014/main" id="{71DFB85E-F3A0-487D-9156-FF745F928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319200" y="5941695"/>
          <a:ext cx="8060991" cy="4394286"/>
        </a:xfrm>
        <a:prstGeom prst="rect">
          <a:avLst/>
        </a:prstGeom>
      </xdr:spPr>
    </xdr:pic>
    <xdr:clientData/>
  </xdr:twoCellAnchor>
  <xdr:twoCellAnchor editAs="oneCell">
    <xdr:from>
      <xdr:col>33</xdr:col>
      <xdr:colOff>142874</xdr:colOff>
      <xdr:row>19</xdr:row>
      <xdr:rowOff>85725</xdr:rowOff>
    </xdr:from>
    <xdr:to>
      <xdr:col>41</xdr:col>
      <xdr:colOff>137159</xdr:colOff>
      <xdr:row>30</xdr:row>
      <xdr:rowOff>137160</xdr:rowOff>
    </xdr:to>
    <xdr:pic>
      <xdr:nvPicPr>
        <xdr:cNvPr id="10" name="Imagen 14">
          <a:extLst>
            <a:ext uri="{FF2B5EF4-FFF2-40B4-BE49-F238E27FC236}">
              <a16:creationId xmlns:a16="http://schemas.microsoft.com/office/drawing/2014/main" id="{C6295D40-92FD-485A-A007-DA70D1A94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242999" y="3790950"/>
          <a:ext cx="6776085" cy="2146935"/>
        </a:xfrm>
        <a:prstGeom prst="rect">
          <a:avLst/>
        </a:prstGeom>
      </xdr:spPr>
    </xdr:pic>
    <xdr:clientData/>
  </xdr:twoCellAnchor>
  <xdr:twoCellAnchor editAs="oneCell">
    <xdr:from>
      <xdr:col>17</xdr:col>
      <xdr:colOff>722779</xdr:colOff>
      <xdr:row>5</xdr:row>
      <xdr:rowOff>5603</xdr:rowOff>
    </xdr:from>
    <xdr:to>
      <xdr:col>23</xdr:col>
      <xdr:colOff>528357</xdr:colOff>
      <xdr:row>21</xdr:row>
      <xdr:rowOff>10085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9E97FA6-1158-B291-97CE-BE25F75B3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35279" y="1015253"/>
          <a:ext cx="4891928" cy="3081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115957</xdr:colOff>
      <xdr:row>0</xdr:row>
      <xdr:rowOff>103723</xdr:rowOff>
    </xdr:from>
    <xdr:to>
      <xdr:col>9</xdr:col>
      <xdr:colOff>8283</xdr:colOff>
      <xdr:row>0</xdr:row>
      <xdr:rowOff>1086971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98A6355-6052-4EBB-BE3A-9341777F26EB}"/>
            </a:ext>
          </a:extLst>
        </xdr:cNvPr>
        <xdr:cNvSpPr txBox="1"/>
      </xdr:nvSpPr>
      <xdr:spPr>
        <a:xfrm>
          <a:off x="115957" y="103723"/>
          <a:ext cx="10164086" cy="98324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 i="1"/>
            <a:t>NOTA:</a:t>
          </a:r>
          <a:r>
            <a:rPr lang="es-ES" sz="1000" i="1" baseline="0"/>
            <a:t> </a:t>
          </a:r>
          <a:r>
            <a:rPr lang="es-ES" sz="1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Sustituir los datos de las celdas amarillas </a:t>
          </a:r>
          <a:r>
            <a:rPr lang="es-ES" sz="10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 los datos reales del caso a tratar. </a:t>
          </a:r>
          <a:r>
            <a:rPr lang="es-ES" sz="1000" i="1" baseline="0"/>
            <a:t>Completar con tantos puntos de cada tipo como tenga el sistema.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 i="1" baseline="0"/>
            <a:t>PEAD.- Solo en caso de que la depuración y la regeneración se realicen en instalaciones diferentes o tengan distinto responsable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 i="1" baseline="0">
              <a:solidFill>
                <a:sysClr val="windowText" lastClr="000000"/>
              </a:solidFill>
            </a:rPr>
            <a:t>Pcum.- Se trata del punto donde el agua regenerada debe cumplir los requisitos de calidad y las frecuencias de muestreo establecidas en el anexo I (cuadros 2 y 3)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 i="1" baseline="0"/>
            <a:t>PEAR.- Puntos en los que una parte responsable entrega el agua a otra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 i="1" baseline="0"/>
            <a:t>PC ad.- Se trata de otros puntos en los que se realizan controles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13</xdr:col>
      <xdr:colOff>122464</xdr:colOff>
      <xdr:row>5</xdr:row>
      <xdr:rowOff>122464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70029E6-2799-4B5E-974D-F7D8CFD4FFF6}"/>
            </a:ext>
          </a:extLst>
        </xdr:cNvPr>
        <xdr:cNvSpPr txBox="1"/>
      </xdr:nvSpPr>
      <xdr:spPr>
        <a:xfrm>
          <a:off x="0" y="457200"/>
          <a:ext cx="13533664" cy="1465489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Completar</a:t>
          </a:r>
          <a:r>
            <a:rPr lang="es-E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las celdas con fondo amarillo</a:t>
          </a:r>
          <a:endParaRPr lang="es-ES">
            <a:effectLst/>
          </a:endParaRPr>
        </a:p>
        <a:p>
          <a:endParaRPr lang="es-ES_trad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_trad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La caracterización de la calidad del agua abarcará lo siguiente: </a:t>
          </a:r>
          <a:endParaRPr lang="es-E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s-ES_trad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los parámetros establecidos en la tabla I-1 del anexo I.1 del Reglamento </a:t>
          </a:r>
          <a:r>
            <a:rPr lang="es-E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reutilización</a:t>
          </a:r>
          <a:r>
            <a:rPr lang="es-E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del agua.</a:t>
          </a:r>
          <a:endParaRPr lang="es-E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s-ES_trad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los parámetros objeto de seguimiento en el efluente de la estación depuradora de aguas residuales urbanas, tratadas de conformidad con la Directiva 91/271/CEE </a:t>
          </a:r>
          <a:endParaRPr lang="es-E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s-ES_trad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los parámetros incluidos en la</a:t>
          </a:r>
          <a:r>
            <a:rPr lang="es-ES" sz="1100" i="1">
              <a:solidFill>
                <a:sysClr val="windowText" lastClr="000000"/>
              </a:solidFill>
            </a:rPr>
            <a:t> autorización de vertido vigente, por considerarse parámetros característicos del agua residual.</a:t>
          </a:r>
        </a:p>
        <a:p>
          <a:r>
            <a:rPr lang="es-ES_trad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los parámetros  ambientales determinados como agentes peligrosos en el PGRAR.</a:t>
          </a:r>
          <a:endParaRPr lang="es-ES" sz="11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13</xdr:col>
      <xdr:colOff>122464</xdr:colOff>
      <xdr:row>5</xdr:row>
      <xdr:rowOff>122464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E71FE48-3A41-4B81-86AD-5EDB47EDD6AE}"/>
            </a:ext>
          </a:extLst>
        </xdr:cNvPr>
        <xdr:cNvSpPr txBox="1"/>
      </xdr:nvSpPr>
      <xdr:spPr>
        <a:xfrm>
          <a:off x="0" y="457200"/>
          <a:ext cx="13533664" cy="1465489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Completar</a:t>
          </a:r>
          <a:r>
            <a:rPr lang="es-E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las celdas con fondo amarillo</a:t>
          </a:r>
          <a:endParaRPr lang="es-ES">
            <a:effectLst/>
          </a:endParaRPr>
        </a:p>
        <a:p>
          <a:endParaRPr lang="es-ES_trad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_trad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La caracterización de la calidad del agua abarcará lo siguiente: </a:t>
          </a:r>
          <a:endParaRPr lang="es-E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s-ES_trad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los parámetros establecidos en la tabla I-1 del anexo I.1 del Reglamento </a:t>
          </a:r>
          <a:r>
            <a:rPr lang="es-E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reutilización</a:t>
          </a:r>
          <a:r>
            <a:rPr lang="es-E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del agua.</a:t>
          </a:r>
          <a:endParaRPr lang="es-E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s-ES_trad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los parámetros objeto de seguimiento en el efluente de la estación depuradora de aguas residuales urbanas, tratadas de conformidad con la Directiva 91/271/CEE </a:t>
          </a:r>
          <a:endParaRPr lang="es-E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s-ES_trad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los parámetros incluidos en la</a:t>
          </a:r>
          <a:r>
            <a:rPr lang="es-ES" sz="1100" i="1">
              <a:solidFill>
                <a:sysClr val="windowText" lastClr="000000"/>
              </a:solidFill>
            </a:rPr>
            <a:t> autorización de vertido vigente, por considerarse parámetros característicos del agua residual.</a:t>
          </a:r>
        </a:p>
        <a:p>
          <a:r>
            <a:rPr lang="es-ES_trad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los parámetros  ambientales determinados como agentes peligrosos en el PGRAR.</a:t>
          </a:r>
          <a:endParaRPr lang="es-ES" sz="11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13</xdr:col>
      <xdr:colOff>122464</xdr:colOff>
      <xdr:row>5</xdr:row>
      <xdr:rowOff>122464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C45A979-01A4-4E1A-9382-6FA4D953F5E0}"/>
            </a:ext>
          </a:extLst>
        </xdr:cNvPr>
        <xdr:cNvSpPr txBox="1"/>
      </xdr:nvSpPr>
      <xdr:spPr>
        <a:xfrm>
          <a:off x="0" y="457200"/>
          <a:ext cx="13533664" cy="1465489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Completar</a:t>
          </a:r>
          <a:r>
            <a:rPr lang="es-E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las celdas con fondo amarillo</a:t>
          </a:r>
          <a:endParaRPr lang="es-ES">
            <a:effectLst/>
          </a:endParaRPr>
        </a:p>
        <a:p>
          <a:endParaRPr lang="es-ES_trad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_trad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La caracterización de la calidad del agua abarcará lo siguiente: </a:t>
          </a:r>
          <a:endParaRPr lang="es-E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s-ES_trad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los parámetros establecidos en la tabla I-1 del anexo I.1 del Reglamento </a:t>
          </a:r>
          <a:r>
            <a:rPr lang="es-E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reutilización</a:t>
          </a:r>
          <a:r>
            <a:rPr lang="es-E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del agua.</a:t>
          </a:r>
          <a:endParaRPr lang="es-E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s-ES_trad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los parámetros objeto de seguimiento en el efluente de la estación depuradora de aguas residuales urbanas, tratadas de conformidad con la Directiva 91/271/CEE </a:t>
          </a:r>
          <a:endParaRPr lang="es-E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s-ES_trad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los parámetros incluidos en la</a:t>
          </a:r>
          <a:r>
            <a:rPr lang="es-ES" sz="1100" i="1">
              <a:solidFill>
                <a:sysClr val="windowText" lastClr="000000"/>
              </a:solidFill>
            </a:rPr>
            <a:t> autorización de vertido vigente, por considerarse parámetros característicos del agua residual.</a:t>
          </a:r>
        </a:p>
        <a:p>
          <a:r>
            <a:rPr lang="es-ES_trad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los parámetros  ambientales determinados como agentes peligrosos en el PGRAR.</a:t>
          </a:r>
          <a:endParaRPr lang="es-ES" sz="11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763657</xdr:colOff>
      <xdr:row>0</xdr:row>
      <xdr:rowOff>198973</xdr:rowOff>
    </xdr:from>
    <xdr:to>
      <xdr:col>11</xdr:col>
      <xdr:colOff>741708</xdr:colOff>
      <xdr:row>0</xdr:row>
      <xdr:rowOff>1182221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4240282" y="198973"/>
          <a:ext cx="11569976" cy="98324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 i="1"/>
            <a:t>NOTA:</a:t>
          </a:r>
          <a:r>
            <a:rPr lang="es-ES" sz="1000" i="1" baseline="0"/>
            <a:t> </a:t>
          </a:r>
          <a:r>
            <a:rPr lang="es-ES" sz="1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Sustituir los datos de las celdas amarillas </a:t>
          </a:r>
          <a:r>
            <a:rPr lang="es-ES" sz="10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 los datos reales del caso a tratar. </a:t>
          </a:r>
          <a:r>
            <a:rPr lang="es-ES" sz="1000" i="1" baseline="0"/>
            <a:t>Completar con tantos puntos de cada tipo como tenga el sistema.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 i="1" baseline="0"/>
            <a:t>PEAD.- Solo en caso de que la depuración y la regeneración se realicen en instalaciones diferentes o tengan distinto responsable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 i="1" baseline="0">
              <a:solidFill>
                <a:sysClr val="windowText" lastClr="000000"/>
              </a:solidFill>
            </a:rPr>
            <a:t>PCAR.- Se trata del punto donde el agua regenerada debe cumplir los requisitos de calidad y las frecuencias de muestreo establecidas en el anexo I (cuadros 2 y 3)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 i="1" baseline="0"/>
            <a:t>PEAR.- Puntos en los que una parte responsable entrega el agua a otra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 i="1" baseline="0"/>
            <a:t>PC ad.- Se trata de otros puntos en los que se realizan controles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80390</xdr:rowOff>
    </xdr:from>
    <xdr:to>
      <xdr:col>3</xdr:col>
      <xdr:colOff>883315</xdr:colOff>
      <xdr:row>1</xdr:row>
      <xdr:rowOff>154934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271996" y="80390"/>
          <a:ext cx="9184194" cy="32219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i="1"/>
            <a:t>Completar</a:t>
          </a:r>
          <a:r>
            <a:rPr lang="es-ES" sz="1100" i="1" baseline="0"/>
            <a:t> las celdas con fondo amarillo</a:t>
          </a:r>
          <a:endParaRPr lang="es-ES" sz="1100" i="1"/>
        </a:p>
      </xdr:txBody>
    </xdr:sp>
    <xdr:clientData/>
  </xdr:twoCellAnchor>
  <xdr:twoCellAnchor editAs="oneCell">
    <xdr:from>
      <xdr:col>7</xdr:col>
      <xdr:colOff>0</xdr:colOff>
      <xdr:row>2</xdr:row>
      <xdr:rowOff>0</xdr:rowOff>
    </xdr:from>
    <xdr:to>
      <xdr:col>17</xdr:col>
      <xdr:colOff>422554</xdr:colOff>
      <xdr:row>29</xdr:row>
      <xdr:rowOff>15506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110D0E3-2346-40F3-B6C9-2BD353CF9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0478" y="844826"/>
          <a:ext cx="8042554" cy="53495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11905</xdr:colOff>
      <xdr:row>0</xdr:row>
      <xdr:rowOff>59532</xdr:rowOff>
    </xdr:from>
    <xdr:to>
      <xdr:col>3</xdr:col>
      <xdr:colOff>3401786</xdr:colOff>
      <xdr:row>2</xdr:row>
      <xdr:rowOff>81642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379548" y="59532"/>
          <a:ext cx="6818881" cy="58000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 i="1"/>
            <a:t>NOTA:</a:t>
          </a:r>
          <a:r>
            <a:rPr lang="es-ES" sz="1000" i="1" baseline="0"/>
            <a:t> </a:t>
          </a:r>
          <a:r>
            <a:rPr lang="es-ES" sz="1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Sustituir los datos de las celdas amarillas </a:t>
          </a:r>
          <a:r>
            <a:rPr lang="es-ES" sz="10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 los datos reales del caso a tratar. </a:t>
          </a:r>
        </a:p>
        <a:p>
          <a:pPr eaLnBrk="1" fontAlgn="auto" latinLnBrk="0" hangingPunct="1"/>
          <a:r>
            <a:rPr lang="es-ES" sz="10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cada organización, rellenar tantas filas como roles tenga.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2781300</xdr:colOff>
      <xdr:row>0</xdr:row>
      <xdr:rowOff>76200</xdr:rowOff>
    </xdr:from>
    <xdr:to>
      <xdr:col>7</xdr:col>
      <xdr:colOff>675057</xdr:colOff>
      <xdr:row>2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2781300" y="76200"/>
          <a:ext cx="10952532" cy="3048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 i="1"/>
            <a:t>NOTA:</a:t>
          </a:r>
          <a:r>
            <a:rPr lang="es-ES" sz="1000" i="1" baseline="0"/>
            <a:t> </a:t>
          </a:r>
          <a:r>
            <a:rPr lang="es-ES" sz="1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Sustituir los datos de las celdas amarillas </a:t>
          </a:r>
          <a:r>
            <a:rPr lang="es-ES" sz="10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 los datos del caso real.</a:t>
          </a:r>
          <a:endParaRPr lang="es-ES" sz="1000" i="1" baseline="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807233</xdr:colOff>
      <xdr:row>0</xdr:row>
      <xdr:rowOff>36372</xdr:rowOff>
    </xdr:from>
    <xdr:to>
      <xdr:col>13</xdr:col>
      <xdr:colOff>798976</xdr:colOff>
      <xdr:row>0</xdr:row>
      <xdr:rowOff>876299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3007508" y="36372"/>
          <a:ext cx="15908018" cy="83992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DEFINICIONES SEGÚN REGLAMENTO DE REUTILIZACIÓN DEL AGUA</a:t>
          </a:r>
        </a:p>
        <a:p>
          <a:r>
            <a:rPr lang="es-E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&lt;&lt;barrera&gt;&gt;: </a:t>
          </a:r>
          <a:r>
            <a:rPr lang="es-E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cualquier medio que reduzca o evite un riesgo de infección humana impidiendo el contacto de aguas regeneradas con el producto ingerido y/o con las personas directamente expuestas; o bien, cualquier otro medio que reduzca la concentración de microorganismos en las aguas regeneradas y/o impida que sobrevivan en el producto ingerido;</a:t>
          </a:r>
        </a:p>
        <a:p>
          <a:endParaRPr lang="es-ES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809625</xdr:colOff>
      <xdr:row>1</xdr:row>
      <xdr:rowOff>38100</xdr:rowOff>
    </xdr:from>
    <xdr:to>
      <xdr:col>11</xdr:col>
      <xdr:colOff>554135</xdr:colOff>
      <xdr:row>1</xdr:row>
      <xdr:rowOff>363071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3009900" y="923925"/>
          <a:ext cx="13060460" cy="32497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i="1" baseline="0"/>
            <a:t>nota: cuando la clase requerida sea U.A+ ó U.A  no se pueden aplicar barreras para conseguir dichas calidades.</a:t>
          </a:r>
        </a:p>
      </xdr:txBody>
    </xdr:sp>
    <xdr:clientData/>
  </xdr:twoCellAnchor>
  <xdr:twoCellAnchor editAs="oneCell">
    <xdr:from>
      <xdr:col>0</xdr:col>
      <xdr:colOff>829234</xdr:colOff>
      <xdr:row>18</xdr:row>
      <xdr:rowOff>56029</xdr:rowOff>
    </xdr:from>
    <xdr:to>
      <xdr:col>5</xdr:col>
      <xdr:colOff>496680</xdr:colOff>
      <xdr:row>43</xdr:row>
      <xdr:rowOff>127196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234" y="5726205"/>
          <a:ext cx="7657240" cy="39932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s/3055320-DIGITALIZACION%20SGPAGR/02_DIGITALIZACI&#211;N%20DE%20LA%20INFORMACI&#211;N%20DE%20VERTIDOS/PGRAR%20USO%20URBANO%20CYGSA%20SEVILLA/&#218;LTIMAS%20NOVEDADES%20DIC2024/Datos_PGRAR%20EMASESA_v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GR%20AGUA%20REGENERADA\02%20PRELIMINAR\Datos_PGRAR%20EMASESA_k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s/3055320-DIGITALIZACION%20SGPAGR/02_DIGITALIZACI&#211;N%20DE%20LA%20INFORMACI&#211;N%20DE%20VERTIDOS/PGRAR%20USO%20URBANO%20TYPSA/ACTUALIZACIONESDIC2025/WT1922-Datos_PGRAR_urbano_D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1.4.Ficha.Resumen"/>
      <sheetName val="2.2.Bruta"/>
      <sheetName val="2.2.Secundario"/>
      <sheetName val="2.2.Depurada"/>
      <sheetName val="2.2.Regenerada"/>
      <sheetName val="2.2.Det.Clase.Generada"/>
      <sheetName val="2.2.Vol"/>
      <sheetName val="2.5.PI"/>
      <sheetName val="2.7.Uso previsto_Clase. "/>
      <sheetName val="2.8.EntornoAgua"/>
      <sheetName val="3.1.ResponsablesRol"/>
      <sheetName val="3.1.ResponsablesContact"/>
      <sheetName val="4.2.ReqMin"/>
      <sheetName val="4.3.Barreras"/>
      <sheetName val="4.4.MedidasClase"/>
      <sheetName val="5.1.AgenteSalud"/>
      <sheetName val="7.ReqAdic"/>
      <sheetName val="5.2.AgenteAmb"/>
      <sheetName val="Aux"/>
      <sheetName val="6.0.InstruccionesRiesgos"/>
      <sheetName val="6.Eval.Riesgos"/>
      <sheetName val="9.Control"/>
      <sheetName val="Datos_PGRAR EMASESA_v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2.1.Bruta"/>
      <sheetName val="2.1.Secundario"/>
      <sheetName val="2.1.Depurada"/>
      <sheetName val="2.1.Regenerada"/>
      <sheetName val="2.1.Det.Clase.Generada"/>
      <sheetName val="2.1.Vol"/>
      <sheetName val="2.5.Uso previsto_Clase. "/>
      <sheetName val="2.6.EntornoAgua"/>
      <sheetName val="3.1.ResponsablesContact"/>
      <sheetName val="3.1.ResponsablesRol"/>
      <sheetName val="4.1.AgenteSalud"/>
      <sheetName val="4.1.AgenteAmb"/>
      <sheetName val="6.2. sucesos_peligrosos"/>
      <sheetName val="7.ReqAdic"/>
      <sheetName val="Aux"/>
      <sheetName val="5. ReqMin"/>
      <sheetName val="5.2.Barreras"/>
      <sheetName val="5.3.MedidasClase"/>
      <sheetName val="8.Medidas "/>
      <sheetName val="9.Control"/>
      <sheetName val="datos_CYGSA"/>
      <sheetName val="Datos_PGRAR EMASESA_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1.4.Datos"/>
      <sheetName val="2.1.Bruta"/>
      <sheetName val="2.1.Secundario"/>
      <sheetName val="2.1.Depurada"/>
      <sheetName val="2.1.Regenerada"/>
      <sheetName val="2.1.Punto_Cumplimiento"/>
      <sheetName val="2.1.Det.Clase.Generada"/>
      <sheetName val="2.1.Vol"/>
      <sheetName val="2.3.PI"/>
      <sheetName val="2.5.Uso previsto_Clase. "/>
      <sheetName val="2.6.EntornoAgua"/>
      <sheetName val="3.1.ResponsablesRol"/>
      <sheetName val="3.1.ResponsablesContact"/>
      <sheetName val="4.2.AgenteAmb"/>
      <sheetName val="4.1.AgenteSalud"/>
      <sheetName val="5. ReqMin"/>
      <sheetName val="5.2.Barreras"/>
      <sheetName val="5.3.MedidasClase"/>
      <sheetName val="7.ReqAdic"/>
      <sheetName val="A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id="1" name="T324_CaractBruta" displayName="T324_CaractBruta" ref="A11:U23" totalsRowShown="0" headerRowDxfId="334" dataDxfId="332" headerRowBorderDxfId="333" tableBorderDxfId="331" totalsRowBorderDxfId="330" headerRowCellStyle="Normal_DBO5, SS, TURBIDEZ">
  <autoFilter ref="A11:U23"/>
  <tableColumns count="21">
    <tableColumn id="4" name="Fecha" dataDxfId="329" dataCellStyle="Normal_DBO5, SS, TURBIDEZ"/>
    <tableColumn id="2" name="AÑO" dataDxfId="328" dataCellStyle="Normal_DBO5, SS, TURBIDEZ"/>
    <tableColumn id="16" name="OBSERVACIONES _x000a_(Si dato anómalo, explicar motivos y medidas que se adoptaron)" dataDxfId="327" dataCellStyle="Normal_DBO5, SS, TURBIDEZ"/>
    <tableColumn id="5" name="Sólidos en suspensión" dataDxfId="326"/>
    <tableColumn id="9" name="Escherichia coli" dataDxfId="325"/>
    <tableColumn id="11" name="Turbidez in situ" dataDxfId="324"/>
    <tableColumn id="15" name="Columna10" dataDxfId="323"/>
    <tableColumn id="13" name="Legionella" dataDxfId="322"/>
    <tableColumn id="12" name="Nematodos intestinales" dataDxfId="321"/>
    <tableColumn id="8" name="Columna9" dataDxfId="320"/>
    <tableColumn id="1" name="DQO" dataDxfId="319"/>
    <tableColumn id="3" name="Nitrógeno total" dataDxfId="318"/>
    <tableColumn id="6" name="Fósforo total" dataDxfId="317"/>
    <tableColumn id="17" name="Columna1" dataDxfId="316"/>
    <tableColumn id="18" name="Columna2" dataDxfId="315"/>
    <tableColumn id="19" name="Columna3" dataDxfId="314"/>
    <tableColumn id="20" name="Columna4" dataDxfId="313"/>
    <tableColumn id="21" name="Columna5" dataDxfId="312"/>
    <tableColumn id="22" name="Columna6" dataDxfId="311"/>
    <tableColumn id="23" name="Columna7" dataDxfId="310"/>
    <tableColumn id="24" name="Columna8" dataDxfId="30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" name="T34_Cultivo3" displayName="T34_Cultivo3" ref="A4:D24" totalsRowShown="0" headerRowDxfId="185" dataDxfId="183" headerRowBorderDxfId="184" tableBorderDxfId="182" totalsRowBorderDxfId="181">
  <autoFilter ref="A4:D24"/>
  <tableColumns count="4">
    <tableColumn id="1" name="Denominación, acorde a las zonas identificadas en la cartografía" dataDxfId="180"/>
    <tableColumn id="2" name="Hectáreas" dataDxfId="179"/>
    <tableColumn id="6" name="Consultar Reglamento de reutilización del agua. Anexo I, parte A" dataDxfId="178"/>
    <tableColumn id="7" name="Campo opcional. Puede describir también el procedimiento de plantación y cosecha, periodos, etc." dataDxfId="17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9" name="T352_masa" displayName="T352_masa" ref="B4:AG15" totalsRowShown="0" headerRowDxfId="176" dataDxfId="174" headerRowBorderDxfId="175" tableBorderDxfId="173">
  <tableColumns count="32">
    <tableColumn id="1" name="Código-nombre masa de agua" dataDxfId="172"/>
    <tableColumn id="6" name="Código masa de agua" dataDxfId="171"/>
    <tableColumn id="2" name="CodDEM" dataDxfId="170">
      <calculatedColumnFormula>IFERROR(VLOOKUP($B5,#REF!,3,FALSE),"")</calculatedColumnFormula>
    </tableColumn>
    <tableColumn id="3" name="Superficial o subterránea" dataDxfId="169">
      <calculatedColumnFormula>IFERROR(VLOOKUP($B5,#REF!,8,FALSE),"")</calculatedColumnFormula>
    </tableColumn>
    <tableColumn id="13" name="X" dataDxfId="168"/>
    <tableColumn id="33" name="Y" dataDxfId="167"/>
    <tableColumn id="4" name="Estado químico" dataDxfId="166"/>
    <tableColumn id="5" name="Índice de incumplimiento (parámetro o agente peligroso) #" dataDxfId="165"/>
    <tableColumn id="7" name="Estado químico " dataDxfId="164"/>
    <tableColumn id="8" name="Índice de incumplimiento (parámetro o agente peligroso) " dataDxfId="163"/>
    <tableColumn id="10" name="Estado ecológico _x000a_(m.a. naturales)" dataDxfId="162"/>
    <tableColumn id="11" name="Potencial ecológico_x000a_(m.a. modificadas)" dataDxfId="161"/>
    <tableColumn id="12" name="Índice de incumplimiento (parámetro o agente peligroso) #  " dataDxfId="160"/>
    <tableColumn id="14" name="Figuras de protección 1: tipo" dataDxfId="159"/>
    <tableColumn id="15" name="Nombre figura de protección 1" dataDxfId="158"/>
    <tableColumn id="16" name="Parámetro a considerar (agente peligroso) fig protec 1" dataDxfId="157"/>
    <tableColumn id="17" name="Figuras de protección 2: tipo" dataDxfId="156"/>
    <tableColumn id="18" name="Nombre figura de protección 2" dataDxfId="155"/>
    <tableColumn id="19" name="Parámetro a considerar (agente peligroso) fig protec 2" dataDxfId="154"/>
    <tableColumn id="20" name="Figuras de protección 3: tipo" dataDxfId="153"/>
    <tableColumn id="21" name="Nombre figura de protección 3" dataDxfId="152"/>
    <tableColumn id="22" name="Parámetro a considerar (agente peligroso) fig protec 3" dataDxfId="151"/>
    <tableColumn id="23" name="Figuras de protección 4: tipo" dataDxfId="150"/>
    <tableColumn id="24" name="Nombre figura de protección 4" dataDxfId="149"/>
    <tableColumn id="25" name="Parámetro a considerar (agente peligroso) fig protec 4" dataDxfId="148"/>
    <tableColumn id="26" name="Figuras de protección 5: tipo" dataDxfId="147"/>
    <tableColumn id="27" name="Nombre figura de protección 5" dataDxfId="146"/>
    <tableColumn id="28" name="Parámetro a considerar (agente peligroso) fig protec 5" dataDxfId="145"/>
    <tableColumn id="29" name="Figuras de protección 6: tipo" dataDxfId="144"/>
    <tableColumn id="30" name="Nombre figura de protección 6" dataDxfId="143"/>
    <tableColumn id="31" name="Parámetro a considerar (agente peligroso) fig protec 6" dataDxfId="142"/>
    <tableColumn id="32" name="Observaciones" dataDxfId="14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1" name="T41_Resp_Rol" displayName="T41_Resp_Rol" ref="A5:G14" totalsRowShown="0" headerRowDxfId="140" dataDxfId="138" headerRowBorderDxfId="139" tableBorderDxfId="137" totalsRowBorderDxfId="136">
  <autoFilter ref="A5:G14"/>
  <tableColumns count="7">
    <tableColumn id="1" name="Debe haber rellenado la hoja 3.1.ResponsablesContact para poder acceder al desplegable." dataDxfId="135"/>
    <tableColumn id="2" name="Seleccionar del desplegable" dataDxfId="134"/>
    <tableColumn id="7" name="Organización - Rol" dataDxfId="133">
      <calculatedColumnFormula>T41_Resp_Rol[[#This Row],[Debe haber rellenado la hoja 3.1.ResponsablesContact para poder acceder al desplegable.]]&amp; " - " &amp; T41_Resp_Rol[[#This Row],[Seleccionar del desplegable]]</calculatedColumnFormula>
    </tableColumn>
    <tableColumn id="3" name="Describir las responsabilidades que ejerce." dataDxfId="132"/>
    <tableColumn id="4" name="Autorización requerida, concesión requerida con ref del expediente." dataDxfId="131"/>
    <tableColumn id="5" name="Detalle de la zona o elemento sobre el que ejerce su responsabilidad. Ej.Balsa Nombre X, todas las balsas, zona de riego 1 y 2, etc." dataDxfId="130"/>
    <tableColumn id="6" name="Seleccionar del desplegable " dataDxfId="129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20" name="T41_Resp_Contact" displayName="T41_Resp_Contact" ref="A5:H9" totalsRowShown="0" headerRowDxfId="128" headerRowBorderDxfId="127" tableBorderDxfId="126" totalsRowBorderDxfId="125">
  <autoFilter ref="A5:H9"/>
  <tableColumns count="8">
    <tableColumn id="1" name="Nombre de la autoridad competente, gestor de la estación regeneradora, etc." dataDxfId="124"/>
    <tableColumn id="2" name="Descripción adicional (opcional)" dataDxfId="123"/>
    <tableColumn id="3" name="Número de teléfono con el código del país (+34)." dataDxfId="122"/>
    <tableColumn id="4" name="Nombre de la ciudad donde se encuentra la organización" dataDxfId="121"/>
    <tableColumn id="5" name="Código postal único" dataDxfId="120"/>
    <tableColumn id="6" name="correo-e" dataDxfId="119"/>
    <tableColumn id="7" name="web"/>
    <tableColumn id="8" name="Campo opcional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T71_ReqMin" displayName="T71_ReqMin" ref="A5:H14" totalsRowShown="0" headerRowDxfId="118" headerRowBorderDxfId="117" tableBorderDxfId="116" totalsRowBorderDxfId="115">
  <autoFilter ref="A5:H14"/>
  <tableColumns count="8">
    <tableColumn id="1" name="Denominación del punto según hoja PI" dataDxfId="114"/>
    <tableColumn id="2" name="A seleccionar del desplegable:  Clase de calidad del agua, anexo I Reglamento de reutilización del agua" dataDxfId="113"/>
    <tableColumn id="3" name="A seleccionar del desplegable: parámetros a muestrear en el punto de cumplimiento" dataDxfId="112"/>
    <tableColumn id="4" name="Frecuencia" dataDxfId="111"/>
    <tableColumn id="13" name="Frecuencia de muestreo en caso de seleccionar &quot;otro&quot;" dataDxfId="110"/>
    <tableColumn id="6" name="Inicio periodo de muestreo dd/mm/aaaa" dataDxfId="109"/>
    <tableColumn id="7" name="Fin periodo de muestreo dd/mm/aaaa" dataDxfId="108"/>
    <tableColumn id="10" name="Campo opcional" dataDxfId="107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8" name="T73_Barreras" displayName="T73_Barreras" ref="A4:Q14" totalsRowShown="0" headerRowDxfId="106" dataDxfId="104" headerRowBorderDxfId="105" tableBorderDxfId="103" totalsRowBorderDxfId="102">
  <autoFilter ref="A4:Q14"/>
  <tableColumns count="17">
    <tableColumn id="1" name="Barrera nº" dataDxfId="101"/>
    <tableColumn id="2" name="CLASE GENERADA" dataDxfId="100"/>
    <tableColumn id="3" name="CALIDAD CUMPLIDA POR EL PARÁMETRO E.COLI" dataDxfId="99"/>
    <tableColumn id="4" name="CALIDAD CUMPLIDA POR EL PARÁMETRO LEGIONELLA " dataDxfId="98"/>
    <tableColumn id="17" name="CALIDAD CUMPLIDA POR BACTERIÓFAGOS_x000a_(cuando existe riesgo de aerosolización)" dataDxfId="97"/>
    <tableColumn id="5" name="CALIDAD CUMPLIDA POR EL PARÁMETRO NEMATODOS" dataDxfId="96"/>
    <tableColumn id="6" name="ZONA DE USO" dataDxfId="95"/>
    <tableColumn id="7" name="CLASE REQUERIDA" dataDxfId="94"/>
    <tableColumn id="8" name="NÚMERO DE BARRERAS NECESARIAS" dataDxfId="93"/>
    <tableColumn id="9" name="BARRERA SELECCIONADA_x000a_ (ACREDITADA)" dataDxfId="92"/>
    <tableColumn id="10" name="BARRERA SELECCIONADA _x000a_(No acreditada)" dataDxfId="91"/>
    <tableColumn id="11" name="DETALLES" dataDxfId="90"/>
    <tableColumn id="12" name="REDUCCIÓN LOGARÍTMICA DEL PATÓGENO" dataDxfId="89"/>
    <tableColumn id="13" name="JUSTIFICACIÓN" dataDxfId="88"/>
    <tableColumn id="14" name="PARTE RESPONSABLE" dataDxfId="87"/>
    <tableColumn id="15" name="PARTE DEL SISTEMA" dataDxfId="86"/>
    <tableColumn id="16" name="OBSERVACIONES" dataDxfId="85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9" name="T73_Medidas" displayName="T73_Medidas" ref="A4:J17" totalsRowShown="0" headerRowDxfId="84" headerRowBorderDxfId="83" tableBorderDxfId="82" totalsRowBorderDxfId="81">
  <autoFilter ref="A4:J17"/>
  <tableColumns count="10">
    <tableColumn id="1" name="Medida nº" dataDxfId="80"/>
    <tableColumn id="2" name="CLASE GENERADA" dataDxfId="79"/>
    <tableColumn id="4" name="CALIDAD SEGÚN SÓLIDOS EN SUSPENSIÓN" dataDxfId="78"/>
    <tableColumn id="5" name="CALIDAD SEGÚN TURBIDEZ" dataDxfId="77"/>
    <tableColumn id="6" name="ZONA REGABLE" dataDxfId="76"/>
    <tableColumn id="7" name="CLASE REQUERIDA" dataDxfId="75"/>
    <tableColumn id="8" name="DESCRIPCIÓN DE LA MEDIDA" dataDxfId="74"/>
    <tableColumn id="10" name="PARTE RESPONSABLE" dataDxfId="73"/>
    <tableColumn id="11" name="PARTE DEL SISTEMA" dataDxfId="72"/>
    <tableColumn id="12" name="OBSERVACIONES" dataDxfId="71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2" name="T5_AgenteSanit" displayName="T5_AgenteSanit" ref="A4:K8" totalsRowShown="0" tableBorderDxfId="70">
  <autoFilter ref="A4:K8"/>
  <tableColumns count="11">
    <tableColumn id="1" name="Grupo" dataDxfId="69"/>
    <tableColumn id="4" name="Patógeno de referencia" dataDxfId="68"/>
    <tableColumn id="5" name="Patógeno de referencia en caso de &quot;Otros&quot;" dataDxfId="67"/>
    <tableColumn id="2" name="si/no" dataDxfId="66"/>
    <tableColumn id="3" name="Ej. puede estar presente pero se utiliza como indicador &quot;E.coli&quot; " dataDxfId="65"/>
    <tableColumn id="6" name="Descripción de efectos que el agente puede producir sobre las personas" dataDxfId="64"/>
    <tableColumn id="7" name="Plazo en el que pueden generarse los efectos" dataDxfId="63"/>
    <tableColumn id="8" name="Unidad de medida" dataDxfId="62"/>
    <tableColumn id="9" name="Concentración en agua residual (o inferior a límite de cuantificación)" dataDxfId="61"/>
    <tableColumn id="10" name="(dd/mm/aaaa)" dataDxfId="60"/>
    <tableColumn id="11" name="(opcional)" dataDxfId="59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5_AgenteAmb" displayName="T5_AgenteAmb" ref="A4:J14" totalsRowShown="0" dataDxfId="58" tableBorderDxfId="57">
  <autoFilter ref="A4:J14"/>
  <tableColumns count="10">
    <tableColumn id="1" name="Nombre del parámetro" dataDxfId="56"/>
    <tableColumn id="12" name="Nombre del parámetro_x000a_(en caso de otros)" dataDxfId="55"/>
    <tableColumn id="2" name="si/no" dataDxfId="54"/>
    <tableColumn id="3" name="Ej. registro de analíticas acredita su ausencia, no existe retorno que pueda afectar a agua superficial, etc. " dataDxfId="53"/>
    <tableColumn id="6" name="Efectos que el agente puede producir sobre el receptor medioambiental (suelo, cultivo, m.a. sup, m.a. subt)" dataDxfId="52"/>
    <tableColumn id="7" name="Plazo en el que pueden generarse los efectos" dataDxfId="51"/>
    <tableColumn id="8" name="Unidad de medida" dataDxfId="50"/>
    <tableColumn id="9" name="Concentración en agua residual (o inferior a límite de cuantificación)" dataDxfId="49"/>
    <tableColumn id="10" name="dd/mm/aaaa" dataDxfId="48"/>
    <tableColumn id="11" name="(opcional)" dataDxfId="47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15" name="T72_ReqAdic" displayName="T72_ReqAdic" ref="A5:K9" totalsRowShown="0" headerRowDxfId="38" dataDxfId="36" headerRowBorderDxfId="37" tableBorderDxfId="35" totalsRowBorderDxfId="34">
  <autoFilter ref="A5:K9"/>
  <tableColumns count="11">
    <tableColumn id="1" name="Denominación del punto según hoja PI" dataDxfId="33"/>
    <tableColumn id="2" name="A seleccionar del desplegable:  Clase de calidad del agua, anexo I Reglamento de reutilización del agua" dataDxfId="32"/>
    <tableColumn id="3" name="Parámetros adicionales" dataDxfId="31"/>
    <tableColumn id="16" name="Parámetros adicionales (En caso de &quot;otros&quot;)" dataDxfId="30"/>
    <tableColumn id="4" name="Frecuencia" dataDxfId="29"/>
    <tableColumn id="5" name="Frecuencia de muestreo en caso de seleccionar &quot;otro&quot;" dataDxfId="28"/>
    <tableColumn id="6" name="Inicio periodo de muestreo dd/mm/aaaa" dataDxfId="27"/>
    <tableColumn id="7" name="Fin periodo de muestreo dd/mm/aaaa" dataDxfId="26"/>
    <tableColumn id="10" name="Indicar el valor que no deberá superarse para el parámetro descrito en el punto (PI) seleccionado" dataDxfId="25"/>
    <tableColumn id="11" name="Unidad de medida" dataDxfId="24"/>
    <tableColumn id="15" name="Campo opcional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5" name="T324_CaractBruta26" displayName="T324_CaractBruta26" ref="A11:U23" totalsRowShown="0" headerRowDxfId="308" dataDxfId="306" headerRowBorderDxfId="307" tableBorderDxfId="305" totalsRowBorderDxfId="304" headerRowCellStyle="Normal_DBO5, SS, TURBIDEZ">
  <autoFilter ref="A11:U23"/>
  <tableColumns count="21">
    <tableColumn id="4" name="Fecha" dataDxfId="303" dataCellStyle="Normal_DBO5, SS, TURBIDEZ"/>
    <tableColumn id="2" name="AÑO" dataDxfId="302" dataCellStyle="Normal_DBO5, SS, TURBIDEZ"/>
    <tableColumn id="16" name="OBSERVACIONES _x000a_(Si dato anómalo, explicar motivos y medidas que se adoptaron)" dataDxfId="301" dataCellStyle="Normal_DBO5, SS, TURBIDEZ"/>
    <tableColumn id="5" name="Sólidos en suspensión" dataDxfId="300"/>
    <tableColumn id="9" name="Escherichia coli" dataDxfId="299"/>
    <tableColumn id="11" name="Turbidez in situ" dataDxfId="298"/>
    <tableColumn id="15" name="Columna10" dataDxfId="297"/>
    <tableColumn id="13" name="Legionella" dataDxfId="296"/>
    <tableColumn id="12" name="Nematodos intestinales" dataDxfId="295"/>
    <tableColumn id="8" name="Columna9" dataDxfId="294"/>
    <tableColumn id="1" name="DQO" dataDxfId="293"/>
    <tableColumn id="3" name="Nitrógeno total" dataDxfId="292"/>
    <tableColumn id="6" name="Fósforo total" dataDxfId="291"/>
    <tableColumn id="17" name="Columna1" dataDxfId="290"/>
    <tableColumn id="18" name="Columna2" dataDxfId="289"/>
    <tableColumn id="19" name="Columna3" dataDxfId="288"/>
    <tableColumn id="20" name="Columna4" dataDxfId="287"/>
    <tableColumn id="21" name="Columna5" dataDxfId="286"/>
    <tableColumn id="22" name="Columna6" dataDxfId="285"/>
    <tableColumn id="23" name="Columna7" dataDxfId="284"/>
    <tableColumn id="24" name="Columna8" dataDxfId="283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" name="T37_POI4" displayName="T37_POI4" ref="A5:J30" totalsRowShown="0" headerRowDxfId="14" dataDxfId="12" headerRowBorderDxfId="13" tableBorderDxfId="11" totalsRowBorderDxfId="10">
  <autoFilter ref="A5:J30"/>
  <tableColumns count="10">
    <tableColumn id="1" name="Denominación" dataDxfId="9">
      <calculatedColumnFormula>+T37_POI[[#This Row],[Denominación]]</calculatedColumnFormula>
    </tableColumn>
    <tableColumn id="2" name="Descripción" dataDxfId="8">
      <calculatedColumnFormula>+T37_POI[[#This Row],[Descripción]]</calculatedColumnFormula>
    </tableColumn>
    <tableColumn id="3" name="Descripción de su ubicación_x000a_(ej. última arqueta dentro de la ERA; arqueta a la salida de la ERA…)" dataDxfId="7">
      <calculatedColumnFormula>+T37_POI[[#This Row],[Descripción de su ubicación
(ej. última arqueta dentro de la ERA; arqueta a la salida de la ERA…)]]</calculatedColumnFormula>
    </tableColumn>
    <tableColumn id="6" name="E.Coli" dataDxfId="6"/>
    <tableColumn id="5" name="SS" dataDxfId="5"/>
    <tableColumn id="7" name="Nemátodos intestinales" dataDxfId="4"/>
    <tableColumn id="9" name="Bacteriófagos" dataDxfId="3"/>
    <tableColumn id="4" name="DBO5" dataDxfId="2"/>
    <tableColumn id="10" name="Responsable" dataDxfId="1">
      <calculatedColumnFormula>+T37_POI[[#This Row],[En el punto]]</calculatedColumnFormula>
    </tableColumn>
    <tableColumn id="8" name="Campo opcional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9" name="T324_CaractBruta2630" displayName="T324_CaractBruta2630" ref="A11:U23" totalsRowShown="0" headerRowDxfId="282" dataDxfId="280" headerRowBorderDxfId="281" tableBorderDxfId="279" totalsRowBorderDxfId="278" headerRowCellStyle="Normal_DBO5, SS, TURBIDEZ">
  <autoFilter ref="A11:U23"/>
  <tableColumns count="21">
    <tableColumn id="4" name="Fecha" dataDxfId="277" dataCellStyle="Normal_DBO5, SS, TURBIDEZ"/>
    <tableColumn id="2" name="AÑO" dataDxfId="276" dataCellStyle="Normal_DBO5, SS, TURBIDEZ"/>
    <tableColumn id="16" name="OBSERVACIONES _x000a_(Si dato anómalo, explicar motivos y medidas que se adoptaron)" dataDxfId="275" dataCellStyle="Normal_DBO5, SS, TURBIDEZ"/>
    <tableColumn id="5" name="Sólidos en suspensión" dataDxfId="274"/>
    <tableColumn id="9" name="Escherichia coli" dataDxfId="273"/>
    <tableColumn id="11" name="Turbidez in situ" dataDxfId="272"/>
    <tableColumn id="15" name="Columna10" dataDxfId="271"/>
    <tableColumn id="13" name="Legionella" dataDxfId="270"/>
    <tableColumn id="12" name="Nematodos intestinales" dataDxfId="269"/>
    <tableColumn id="8" name="Columna9" dataDxfId="268"/>
    <tableColumn id="1" name="DQO" dataDxfId="267"/>
    <tableColumn id="3" name="Nitrógeno total" dataDxfId="266"/>
    <tableColumn id="6" name="Fósforo total" dataDxfId="265"/>
    <tableColumn id="17" name="Columna1" dataDxfId="264"/>
    <tableColumn id="18" name="Columna2" dataDxfId="263"/>
    <tableColumn id="19" name="Columna3" dataDxfId="262"/>
    <tableColumn id="20" name="Columna4" dataDxfId="261"/>
    <tableColumn id="21" name="Columna5" dataDxfId="260"/>
    <tableColumn id="22" name="Columna6" dataDxfId="259"/>
    <tableColumn id="23" name="Columna7" dataDxfId="258"/>
    <tableColumn id="24" name="Columna8" dataDxfId="25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0" name="T324_CaractBruta263031" displayName="T324_CaractBruta263031" ref="A11:U23" totalsRowShown="0" headerRowDxfId="256" dataDxfId="254" headerRowBorderDxfId="255" tableBorderDxfId="253" totalsRowBorderDxfId="252" headerRowCellStyle="Normal_DBO5, SS, TURBIDEZ">
  <autoFilter ref="A11:U23"/>
  <tableColumns count="21">
    <tableColumn id="4" name="Fecha" dataDxfId="251" dataCellStyle="Normal_DBO5, SS, TURBIDEZ"/>
    <tableColumn id="2" name="AÑO" dataDxfId="250" dataCellStyle="Normal_DBO5, SS, TURBIDEZ"/>
    <tableColumn id="16" name="OBSERVACIONES _x000a_(Si dato anómalo, explicar motivos y medidas que se adoptaron)" dataDxfId="249" dataCellStyle="Normal_DBO5, SS, TURBIDEZ"/>
    <tableColumn id="5" name="Sólidos en suspensión" dataDxfId="248"/>
    <tableColumn id="9" name="Escherichia coli" dataDxfId="247"/>
    <tableColumn id="11" name="Turbidez in situ" dataDxfId="246"/>
    <tableColumn id="15" name="Columna10" dataDxfId="245"/>
    <tableColumn id="13" name="Legionella" dataDxfId="244"/>
    <tableColumn id="12" name="Nematodos intestinales" dataDxfId="243"/>
    <tableColumn id="8" name="Columna9" dataDxfId="242"/>
    <tableColumn id="1" name="DQO" dataDxfId="241"/>
    <tableColumn id="3" name="Nitrógeno total" dataDxfId="240"/>
    <tableColumn id="6" name="Fósforo total" dataDxfId="239"/>
    <tableColumn id="17" name="Columna1" dataDxfId="238"/>
    <tableColumn id="18" name="Columna2" dataDxfId="237"/>
    <tableColumn id="19" name="Columna3" dataDxfId="236"/>
    <tableColumn id="20" name="Columna4" dataDxfId="235"/>
    <tableColumn id="21" name="Columna5" dataDxfId="234"/>
    <tableColumn id="22" name="Columna6" dataDxfId="233"/>
    <tableColumn id="23" name="Columna7" dataDxfId="232"/>
    <tableColumn id="24" name="Columna8" dataDxfId="23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6" name="T325_Resumen" displayName="T325_Resumen" ref="A5:H8" totalsRowShown="0" headerRowBorderDxfId="230" tableBorderDxfId="229" totalsRowBorderDxfId="228">
  <autoFilter ref="A5:H8"/>
  <tableColumns count="8">
    <tableColumn id="1" name="CRITERIOS"/>
    <tableColumn id="2" name="E.coli" dataDxfId="227"/>
    <tableColumn id="3" name="Legionella" dataDxfId="226"/>
    <tableColumn id="4" name="Nemátodos" dataDxfId="225"/>
    <tableColumn id="5" name="Bacteriófagos" dataDxfId="224"/>
    <tableColumn id="6" name="SS" dataDxfId="223"/>
    <tableColumn id="7" name="Turbidez" dataDxfId="222">
      <calculatedColumnFormula>+PERCENTILE(T324_CaractBruta263031[Escherichia coli],0.9)</calculatedColumnFormula>
    </tableColumn>
    <tableColumn id="8" name="CLASE TOTA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6" name="T326_volReg" displayName="T326_volReg" ref="A9:D21" totalsRowShown="0" headerRowDxfId="221" dataDxfId="219" headerRowBorderDxfId="220" tableBorderDxfId="218" totalsRowBorderDxfId="217" headerRowCellStyle="Normal_DBO5, SS, TURBIDEZ">
  <autoFilter ref="A9:D21"/>
  <tableColumns count="4">
    <tableColumn id="1" name="Fecha" dataDxfId="216" dataCellStyle="Normal_DBO5, SS, TURBIDEZ"/>
    <tableColumn id="2" name="AÑO" dataDxfId="215" dataCellStyle="Normal_DBO5, SS, TURBIDEZ"/>
    <tableColumn id="3" name="Volumen regenerado (m3/año)" dataDxfId="214" dataCellStyle="Normal_DBO5, SS, TURBIDEZ"/>
    <tableColumn id="4" name="Volumen uso urbano (m³/año)" dataDxfId="213" dataCellStyle="Normal_DBO5, SS, TURBIDEZ">
      <calculatedColumnFormula>+T326_volReg[[#This Row],[Volumen regenerado (m3/año)]]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7" name="T3_2_4_VolAnual" displayName="T3_2_4_VolAnual" ref="B4:D5" totalsRowShown="0" headerRowDxfId="212" dataDxfId="210" headerRowBorderDxfId="211" tableBorderDxfId="209" totalsRowBorderDxfId="208" headerRowCellStyle="Normal_DBO5, SS, TURBIDEZ">
  <autoFilter ref="B4:D5"/>
  <tableColumns count="3">
    <tableColumn id="1" name="AÑO" dataDxfId="207" dataCellStyle="Normal_DBO5, SS, TURBIDEZ"/>
    <tableColumn id="2" name="Volumen tratado (m3/año)" dataDxfId="206" dataCellStyle="Normal_DBO5, SS, TURBIDEZ"/>
    <tableColumn id="3" name="Volumen uso urbano (m³/año)" dataDxfId="205" dataCellStyle="Normal_DBO5, SS, TURBIDEZ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8" name="T3_2_4_caudal" displayName="T3_2_4_caudal" ref="F9:F10" totalsRowShown="0" headerRowDxfId="204" dataDxfId="202" headerRowBorderDxfId="203" tableBorderDxfId="201" totalsRowBorderDxfId="200" headerRowCellStyle="Normal_DBO5, SS, TURBIDEZ" dataCellStyle="Normal_DBO5, SS, TURBIDEZ">
  <autoFilter ref="F9:F10"/>
  <tableColumns count="1">
    <tableColumn id="1" name="Caudal máximo instantáneo agua regenerada (l/s)" dataDxfId="199" dataCellStyle="Normal_DBO5, SS, TURBIDEZ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0" name="T37_POI" displayName="T37_POI" ref="A5:H13" totalsRowShown="0" headerRowDxfId="198" dataDxfId="196" headerRowBorderDxfId="197" tableBorderDxfId="195" totalsRowBorderDxfId="194">
  <autoFilter ref="A5:H13"/>
  <tableColumns count="8">
    <tableColumn id="1" name="Denominación" dataDxfId="193"/>
    <tableColumn id="2" name="Descripción" dataDxfId="192"/>
    <tableColumn id="3" name="Descripción de su ubicación_x000a_(ej. última arqueta dentro de la ERA; arqueta a la salida de la ERA…)" dataDxfId="191"/>
    <tableColumn id="4" name="X" dataDxfId="190"/>
    <tableColumn id="5" name="Y" dataDxfId="189"/>
    <tableColumn id="6" name="En el punto" dataDxfId="188"/>
    <tableColumn id="7" name="Aguas abajo del punto" dataDxfId="187"/>
    <tableColumn id="8" name="Campo opcional" dataDxfId="18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showFormulas="1" tabSelected="1" zoomScaleNormal="100" workbookViewId="0">
      <selection activeCell="C13" sqref="C13"/>
    </sheetView>
  </sheetViews>
  <sheetFormatPr baseColWidth="10" defaultColWidth="11.44140625" defaultRowHeight="13.8"/>
  <cols>
    <col min="1" max="1" width="4.5546875" style="13" customWidth="1"/>
    <col min="2" max="2" width="30.6640625" style="13" customWidth="1"/>
    <col min="3" max="3" width="63" style="13" customWidth="1"/>
    <col min="4" max="16384" width="11.44140625" style="13"/>
  </cols>
  <sheetData>
    <row r="3" spans="1:6">
      <c r="A3" s="305" t="s">
        <v>473</v>
      </c>
      <c r="B3" s="305"/>
    </row>
    <row r="5" spans="1:6">
      <c r="A5" s="304" t="s">
        <v>436</v>
      </c>
      <c r="B5" s="303" t="s">
        <v>437</v>
      </c>
    </row>
    <row r="6" spans="1:6">
      <c r="A6" s="304" t="s">
        <v>436</v>
      </c>
      <c r="B6" s="303" t="s">
        <v>438</v>
      </c>
    </row>
    <row r="7" spans="1:6">
      <c r="A7" s="304" t="s">
        <v>436</v>
      </c>
      <c r="B7" s="303" t="s">
        <v>439</v>
      </c>
    </row>
    <row r="8" spans="1:6">
      <c r="A8" s="304" t="s">
        <v>436</v>
      </c>
      <c r="B8" s="303" t="s">
        <v>440</v>
      </c>
    </row>
    <row r="9" spans="1:6">
      <c r="A9" s="304" t="s">
        <v>436</v>
      </c>
      <c r="B9" s="303" t="s">
        <v>441</v>
      </c>
    </row>
    <row r="10" spans="1:6">
      <c r="A10" s="304" t="s">
        <v>436</v>
      </c>
      <c r="B10" s="303" t="s">
        <v>442</v>
      </c>
      <c r="C10" s="111"/>
    </row>
    <row r="11" spans="1:6">
      <c r="A11" s="304" t="s">
        <v>469</v>
      </c>
      <c r="B11" s="303" t="s">
        <v>443</v>
      </c>
      <c r="C11" s="112"/>
      <c r="D11" s="112"/>
    </row>
    <row r="12" spans="1:6">
      <c r="A12" s="304" t="s">
        <v>470</v>
      </c>
      <c r="B12" s="303" t="s">
        <v>444</v>
      </c>
      <c r="C12" s="113"/>
      <c r="D12" s="113"/>
      <c r="E12" s="113"/>
      <c r="F12" s="113"/>
    </row>
    <row r="13" spans="1:6">
      <c r="A13" s="304" t="s">
        <v>471</v>
      </c>
      <c r="B13" s="303" t="s">
        <v>445</v>
      </c>
    </row>
    <row r="14" spans="1:6">
      <c r="A14" s="304" t="s">
        <v>472</v>
      </c>
      <c r="B14" s="303" t="s">
        <v>446</v>
      </c>
    </row>
    <row r="15" spans="1:6">
      <c r="A15" s="304" t="s">
        <v>472</v>
      </c>
      <c r="B15" s="303" t="s">
        <v>447</v>
      </c>
    </row>
    <row r="16" spans="1:6">
      <c r="A16" s="304" t="s">
        <v>458</v>
      </c>
      <c r="B16" s="303" t="s">
        <v>448</v>
      </c>
      <c r="C16" s="112"/>
      <c r="D16" s="112"/>
      <c r="E16" s="112"/>
      <c r="F16" s="112"/>
    </row>
    <row r="17" spans="1:6">
      <c r="A17" s="304" t="s">
        <v>459</v>
      </c>
      <c r="B17" s="303" t="s">
        <v>449</v>
      </c>
      <c r="D17" s="112"/>
      <c r="E17" s="112"/>
      <c r="F17" s="112"/>
    </row>
    <row r="18" spans="1:6">
      <c r="A18" s="304" t="s">
        <v>460</v>
      </c>
      <c r="B18" s="303" t="s">
        <v>450</v>
      </c>
      <c r="D18" s="112"/>
      <c r="E18" s="112"/>
      <c r="F18" s="112"/>
    </row>
    <row r="19" spans="1:6">
      <c r="A19" s="304" t="s">
        <v>461</v>
      </c>
      <c r="B19" s="303" t="s">
        <v>451</v>
      </c>
    </row>
    <row r="20" spans="1:6">
      <c r="A20" s="304" t="s">
        <v>462</v>
      </c>
      <c r="B20" s="303" t="s">
        <v>228</v>
      </c>
      <c r="C20" s="111"/>
    </row>
    <row r="21" spans="1:6">
      <c r="A21" s="304" t="s">
        <v>464</v>
      </c>
      <c r="B21" s="303" t="s">
        <v>452</v>
      </c>
      <c r="C21" s="112"/>
    </row>
    <row r="22" spans="1:6">
      <c r="A22" s="304" t="s">
        <v>463</v>
      </c>
      <c r="B22" s="303" t="s">
        <v>453</v>
      </c>
    </row>
    <row r="23" spans="1:6">
      <c r="A23" s="304" t="s">
        <v>465</v>
      </c>
      <c r="B23" s="303" t="s">
        <v>454</v>
      </c>
    </row>
    <row r="24" spans="1:6">
      <c r="A24" s="304" t="s">
        <v>466</v>
      </c>
      <c r="B24" s="303" t="s">
        <v>455</v>
      </c>
    </row>
    <row r="25" spans="1:6">
      <c r="A25" s="304" t="s">
        <v>467</v>
      </c>
      <c r="B25" s="303" t="s">
        <v>456</v>
      </c>
    </row>
    <row r="26" spans="1:6">
      <c r="A26" s="304" t="s">
        <v>468</v>
      </c>
      <c r="B26" s="303" t="s">
        <v>457</v>
      </c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="115" zoomScaleNormal="115" workbookViewId="0">
      <selection activeCell="G13" sqref="G13"/>
    </sheetView>
  </sheetViews>
  <sheetFormatPr baseColWidth="10" defaultColWidth="11.44140625" defaultRowHeight="13.8"/>
  <cols>
    <col min="1" max="1" width="28" style="26" customWidth="1"/>
    <col min="2" max="2" width="15.5546875" style="26" customWidth="1"/>
    <col min="3" max="3" width="23.6640625" style="26" customWidth="1"/>
    <col min="4" max="4" width="28" style="3" customWidth="1"/>
    <col min="5" max="12" width="11.44140625" style="26"/>
    <col min="13" max="13" width="11.44140625" style="26" customWidth="1"/>
    <col min="14" max="16384" width="11.44140625" style="26"/>
  </cols>
  <sheetData>
    <row r="1" spans="1:4" ht="19.5" customHeight="1">
      <c r="A1" s="2" t="s">
        <v>211</v>
      </c>
      <c r="B1" s="2"/>
    </row>
    <row r="2" spans="1:4" ht="47.25" customHeight="1">
      <c r="A2" s="99" t="s">
        <v>335</v>
      </c>
      <c r="B2" s="207"/>
    </row>
    <row r="3" spans="1:4" ht="27.6">
      <c r="A3" s="117" t="s">
        <v>212</v>
      </c>
      <c r="B3" s="117" t="s">
        <v>65</v>
      </c>
      <c r="C3" s="117" t="s">
        <v>210</v>
      </c>
      <c r="D3" s="185" t="s">
        <v>47</v>
      </c>
    </row>
    <row r="4" spans="1:4" ht="51" customHeight="1">
      <c r="A4" s="131" t="s">
        <v>67</v>
      </c>
      <c r="B4" s="132" t="s">
        <v>66</v>
      </c>
      <c r="C4" s="133" t="s">
        <v>266</v>
      </c>
      <c r="D4" s="133" t="s">
        <v>187</v>
      </c>
    </row>
    <row r="5" spans="1:4" ht="13.5" customHeight="1">
      <c r="A5" s="28"/>
      <c r="B5" s="29"/>
      <c r="C5" s="30"/>
      <c r="D5" s="41"/>
    </row>
    <row r="6" spans="1:4">
      <c r="A6" s="28"/>
      <c r="B6" s="29"/>
      <c r="C6" s="30"/>
      <c r="D6" s="41"/>
    </row>
    <row r="7" spans="1:4">
      <c r="A7" s="28"/>
      <c r="B7" s="29"/>
      <c r="C7" s="30"/>
      <c r="D7" s="41"/>
    </row>
    <row r="8" spans="1:4" ht="11.25" customHeight="1">
      <c r="A8" s="28"/>
      <c r="B8" s="29"/>
      <c r="C8" s="30"/>
      <c r="D8" s="41"/>
    </row>
    <row r="9" spans="1:4">
      <c r="A9" s="28"/>
      <c r="B9" s="29"/>
      <c r="C9" s="30"/>
      <c r="D9" s="41"/>
    </row>
    <row r="10" spans="1:4" ht="12" customHeight="1">
      <c r="A10" s="28"/>
      <c r="B10" s="29"/>
      <c r="C10" s="30"/>
      <c r="D10" s="41"/>
    </row>
    <row r="11" spans="1:4">
      <c r="A11" s="28"/>
      <c r="B11" s="29"/>
      <c r="C11" s="30"/>
      <c r="D11" s="41"/>
    </row>
    <row r="12" spans="1:4">
      <c r="A12" s="28"/>
      <c r="B12" s="29"/>
      <c r="C12" s="30"/>
      <c r="D12" s="41"/>
    </row>
    <row r="13" spans="1:4" ht="14.4">
      <c r="A13" s="28"/>
      <c r="B13" s="182"/>
      <c r="C13" s="30"/>
      <c r="D13" s="186"/>
    </row>
    <row r="14" spans="1:4" ht="14.4">
      <c r="A14" s="28"/>
      <c r="B14" s="182"/>
      <c r="C14" s="30"/>
      <c r="D14" s="41"/>
    </row>
    <row r="15" spans="1:4" ht="12" customHeight="1">
      <c r="A15" s="181"/>
      <c r="B15" s="182"/>
      <c r="C15" s="30"/>
      <c r="D15" s="186"/>
    </row>
    <row r="16" spans="1:4" ht="14.4">
      <c r="A16" s="181"/>
      <c r="B16" s="182"/>
      <c r="C16" s="30"/>
      <c r="D16" s="186"/>
    </row>
    <row r="17" spans="1:4" ht="14.4">
      <c r="A17" s="181"/>
      <c r="B17" s="182"/>
      <c r="C17" s="30"/>
      <c r="D17" s="186"/>
    </row>
    <row r="18" spans="1:4" ht="14.4">
      <c r="A18" s="181"/>
      <c r="B18" s="182"/>
      <c r="C18" s="30"/>
      <c r="D18" s="186"/>
    </row>
    <row r="19" spans="1:4" ht="14.4">
      <c r="A19" s="181"/>
      <c r="B19" s="182"/>
      <c r="C19" s="30"/>
      <c r="D19" s="186"/>
    </row>
    <row r="20" spans="1:4" ht="14.4">
      <c r="A20" s="181"/>
      <c r="B20" s="182"/>
      <c r="C20" s="30"/>
      <c r="D20" s="186"/>
    </row>
    <row r="21" spans="1:4" ht="14.4">
      <c r="A21" s="181"/>
      <c r="B21" s="182"/>
      <c r="C21" s="30"/>
      <c r="D21" s="186"/>
    </row>
    <row r="22" spans="1:4" ht="14.4">
      <c r="A22" s="181"/>
      <c r="B22" s="182"/>
      <c r="C22" s="30"/>
      <c r="D22" s="186"/>
    </row>
    <row r="23" spans="1:4" ht="14.4">
      <c r="A23" s="181"/>
      <c r="B23" s="182"/>
      <c r="C23" s="30"/>
      <c r="D23" s="186"/>
    </row>
    <row r="24" spans="1:4" ht="14.4">
      <c r="A24" s="183"/>
      <c r="B24" s="184"/>
      <c r="C24" s="30"/>
      <c r="D24" s="187"/>
    </row>
    <row r="25" spans="1:4">
      <c r="A25" s="13"/>
      <c r="B25" s="13"/>
      <c r="C25" s="13"/>
      <c r="D25" s="188"/>
    </row>
  </sheetData>
  <dataValidations count="2">
    <dataValidation type="list" allowBlank="1" showInputMessage="1" showErrorMessage="1" sqref="C26:C1048576">
      <formula1>#REF!</formula1>
    </dataValidation>
    <dataValidation type="list" allowBlank="1" showInputMessage="1" showErrorMessage="1" sqref="C5:C24">
      <formula1>#REF!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"/>
  <sheetViews>
    <sheetView zoomScale="85" zoomScaleNormal="85" workbookViewId="0">
      <selection activeCell="E33" sqref="E33"/>
    </sheetView>
  </sheetViews>
  <sheetFormatPr baseColWidth="10" defaultColWidth="11.44140625" defaultRowHeight="13.8"/>
  <cols>
    <col min="1" max="1" width="17.33203125" style="126" customWidth="1"/>
    <col min="2" max="3" width="37.109375" style="126" customWidth="1"/>
    <col min="4" max="4" width="21.44140625" style="126" customWidth="1"/>
    <col min="5" max="7" width="17.109375" style="126" customWidth="1"/>
    <col min="8" max="9" width="23.6640625" style="13" customWidth="1"/>
    <col min="10" max="10" width="19.88671875" style="126" bestFit="1" customWidth="1"/>
    <col min="11" max="11" width="17.109375" style="126" customWidth="1"/>
    <col min="12" max="12" width="19.44140625" style="126" customWidth="1"/>
    <col min="13" max="13" width="29" style="126" customWidth="1"/>
    <col min="14" max="14" width="16.88671875" style="126" customWidth="1"/>
    <col min="15" max="15" width="20.33203125" style="126" customWidth="1"/>
    <col min="16" max="16" width="26.6640625" style="126" customWidth="1"/>
    <col min="17" max="35" width="25.44140625" style="126" customWidth="1"/>
    <col min="36" max="36" width="18.6640625" style="126" customWidth="1"/>
    <col min="37" max="16384" width="11.44140625" style="126"/>
  </cols>
  <sheetData>
    <row r="1" spans="1:33">
      <c r="A1" s="124" t="s">
        <v>53</v>
      </c>
      <c r="C1" s="124"/>
      <c r="D1" s="125"/>
      <c r="E1" s="124"/>
      <c r="F1" s="124"/>
      <c r="G1" s="124"/>
      <c r="H1" s="126"/>
      <c r="I1" s="126"/>
    </row>
    <row r="2" spans="1:33" ht="33" customHeight="1">
      <c r="I2" s="78"/>
      <c r="K2" s="79"/>
      <c r="L2" s="79"/>
      <c r="M2" s="79"/>
      <c r="N2" s="79"/>
    </row>
    <row r="3" spans="1:33" ht="33.75" customHeight="1">
      <c r="B3" s="80"/>
      <c r="C3" s="80"/>
      <c r="D3" s="80"/>
      <c r="E3" s="80"/>
      <c r="F3" s="426" t="s">
        <v>141</v>
      </c>
      <c r="G3" s="427"/>
      <c r="H3" s="430" t="s">
        <v>139</v>
      </c>
      <c r="I3" s="431"/>
      <c r="J3" s="426" t="s">
        <v>140</v>
      </c>
      <c r="K3" s="428"/>
      <c r="L3" s="428"/>
      <c r="M3" s="428"/>
      <c r="N3" s="429"/>
      <c r="O3" s="425" t="s">
        <v>95</v>
      </c>
      <c r="P3" s="424"/>
      <c r="Q3" s="424"/>
      <c r="R3" s="424" t="s">
        <v>96</v>
      </c>
      <c r="S3" s="424"/>
      <c r="T3" s="424"/>
      <c r="U3" s="424" t="s">
        <v>97</v>
      </c>
      <c r="V3" s="424"/>
      <c r="W3" s="424"/>
      <c r="X3" s="424" t="s">
        <v>98</v>
      </c>
      <c r="Y3" s="424"/>
      <c r="Z3" s="424"/>
      <c r="AA3" s="424" t="s">
        <v>99</v>
      </c>
      <c r="AB3" s="424"/>
      <c r="AC3" s="424"/>
      <c r="AD3" s="424" t="s">
        <v>100</v>
      </c>
      <c r="AE3" s="424"/>
      <c r="AF3" s="424"/>
    </row>
    <row r="4" spans="1:33" s="127" customFormat="1" ht="60" customHeight="1">
      <c r="A4" s="208" t="s">
        <v>32</v>
      </c>
      <c r="B4" s="81" t="s">
        <v>101</v>
      </c>
      <c r="C4" s="81" t="s">
        <v>321</v>
      </c>
      <c r="D4" s="81" t="s">
        <v>102</v>
      </c>
      <c r="E4" s="81" t="s">
        <v>94</v>
      </c>
      <c r="F4" s="82" t="s">
        <v>20</v>
      </c>
      <c r="G4" s="83" t="s">
        <v>21</v>
      </c>
      <c r="H4" s="84" t="s">
        <v>79</v>
      </c>
      <c r="I4" s="84" t="s">
        <v>131</v>
      </c>
      <c r="J4" s="82" t="s">
        <v>107</v>
      </c>
      <c r="K4" s="82" t="s">
        <v>261</v>
      </c>
      <c r="L4" s="82" t="s">
        <v>184</v>
      </c>
      <c r="M4" s="82" t="s">
        <v>185</v>
      </c>
      <c r="N4" s="82" t="s">
        <v>132</v>
      </c>
      <c r="O4" s="85" t="s">
        <v>108</v>
      </c>
      <c r="P4" s="86" t="s">
        <v>109</v>
      </c>
      <c r="Q4" s="86" t="s">
        <v>110</v>
      </c>
      <c r="R4" s="86" t="s">
        <v>111</v>
      </c>
      <c r="S4" s="86" t="s">
        <v>112</v>
      </c>
      <c r="T4" s="86" t="s">
        <v>116</v>
      </c>
      <c r="U4" s="86" t="s">
        <v>114</v>
      </c>
      <c r="V4" s="86" t="s">
        <v>115</v>
      </c>
      <c r="W4" s="86" t="s">
        <v>113</v>
      </c>
      <c r="X4" s="86" t="s">
        <v>117</v>
      </c>
      <c r="Y4" s="86" t="s">
        <v>118</v>
      </c>
      <c r="Z4" s="86" t="s">
        <v>119</v>
      </c>
      <c r="AA4" s="86" t="s">
        <v>125</v>
      </c>
      <c r="AB4" s="86" t="s">
        <v>120</v>
      </c>
      <c r="AC4" s="86" t="s">
        <v>121</v>
      </c>
      <c r="AD4" s="86" t="s">
        <v>122</v>
      </c>
      <c r="AE4" s="86" t="s">
        <v>123</v>
      </c>
      <c r="AF4" s="86" t="s">
        <v>124</v>
      </c>
      <c r="AG4" s="87" t="s">
        <v>45</v>
      </c>
    </row>
    <row r="5" spans="1:33">
      <c r="A5" s="209" t="s">
        <v>229</v>
      </c>
      <c r="B5" s="92"/>
      <c r="C5" s="92"/>
      <c r="D5" s="88"/>
      <c r="E5" s="88"/>
      <c r="F5" s="89"/>
      <c r="G5" s="89"/>
      <c r="H5" s="88"/>
      <c r="I5" s="88"/>
      <c r="J5" s="90"/>
      <c r="K5" s="90"/>
      <c r="L5" s="90"/>
      <c r="M5" s="90"/>
      <c r="N5" s="90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91"/>
    </row>
    <row r="6" spans="1:33">
      <c r="A6" s="209" t="s">
        <v>230</v>
      </c>
      <c r="B6" s="92"/>
      <c r="C6" s="92"/>
      <c r="D6" s="88"/>
      <c r="E6" s="88"/>
      <c r="F6" s="89"/>
      <c r="G6" s="89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91"/>
    </row>
    <row r="7" spans="1:33" ht="27.6">
      <c r="A7" s="209" t="s">
        <v>342</v>
      </c>
      <c r="B7" s="92"/>
      <c r="C7" s="92"/>
      <c r="D7" s="88"/>
      <c r="E7" s="88"/>
      <c r="F7" s="89"/>
      <c r="G7" s="89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91"/>
    </row>
    <row r="8" spans="1:33">
      <c r="A8" s="209" t="s">
        <v>250</v>
      </c>
      <c r="B8" s="92"/>
      <c r="C8" s="92"/>
      <c r="D8" s="88"/>
      <c r="E8" s="88"/>
      <c r="F8" s="89"/>
      <c r="G8" s="89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91"/>
    </row>
    <row r="9" spans="1:33">
      <c r="A9" s="209"/>
      <c r="B9" s="92"/>
      <c r="C9" s="92"/>
      <c r="D9" s="88"/>
      <c r="E9" s="88"/>
      <c r="F9" s="89"/>
      <c r="G9" s="89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91"/>
    </row>
    <row r="10" spans="1:33">
      <c r="A10" s="210"/>
      <c r="B10" s="92"/>
      <c r="C10" s="92"/>
      <c r="D10" s="88"/>
      <c r="E10" s="88"/>
      <c r="F10" s="89"/>
      <c r="G10" s="89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91"/>
    </row>
    <row r="11" spans="1:33">
      <c r="A11" s="210"/>
      <c r="B11" s="92"/>
      <c r="C11" s="92"/>
      <c r="D11" s="88"/>
      <c r="E11" s="88"/>
      <c r="F11" s="89"/>
      <c r="G11" s="89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91"/>
    </row>
    <row r="12" spans="1:33">
      <c r="A12" s="210"/>
      <c r="B12" s="92"/>
      <c r="C12" s="92"/>
      <c r="D12" s="88"/>
      <c r="E12" s="88"/>
      <c r="F12" s="89"/>
      <c r="G12" s="89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91"/>
    </row>
    <row r="13" spans="1:33">
      <c r="A13" s="210"/>
      <c r="B13" s="92"/>
      <c r="C13" s="92"/>
      <c r="D13" s="88"/>
      <c r="E13" s="88"/>
      <c r="F13" s="89"/>
      <c r="G13" s="89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91"/>
    </row>
    <row r="14" spans="1:33">
      <c r="A14" s="210"/>
      <c r="B14" s="92"/>
      <c r="C14" s="92"/>
      <c r="D14" s="88"/>
      <c r="E14" s="88"/>
      <c r="F14" s="89"/>
      <c r="G14" s="89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91"/>
    </row>
    <row r="15" spans="1:33">
      <c r="A15" s="210"/>
      <c r="B15" s="92"/>
      <c r="C15" s="92"/>
      <c r="D15" s="88"/>
      <c r="E15" s="88"/>
      <c r="F15" s="92"/>
      <c r="G15" s="92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4"/>
    </row>
  </sheetData>
  <mergeCells count="9">
    <mergeCell ref="AD3:AF3"/>
    <mergeCell ref="O3:Q3"/>
    <mergeCell ref="R3:T3"/>
    <mergeCell ref="U3:W3"/>
    <mergeCell ref="F3:G3"/>
    <mergeCell ref="J3:N3"/>
    <mergeCell ref="H3:I3"/>
    <mergeCell ref="X3:Z3"/>
    <mergeCell ref="AA3:AC3"/>
  </mergeCells>
  <dataValidations count="1">
    <dataValidation type="list" allowBlank="1" showInputMessage="1" showErrorMessage="1" sqref="B15:C1048576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80" zoomScaleNormal="80" workbookViewId="0">
      <selection activeCell="D39" sqref="D39"/>
    </sheetView>
  </sheetViews>
  <sheetFormatPr baseColWidth="10" defaultColWidth="11.44140625" defaultRowHeight="13.8"/>
  <cols>
    <col min="1" max="1" width="35.44140625" style="3" customWidth="1"/>
    <col min="2" max="2" width="37" style="3" customWidth="1"/>
    <col min="3" max="3" width="14.5546875" style="3" customWidth="1"/>
    <col min="4" max="4" width="85.88671875" style="3" customWidth="1"/>
    <col min="5" max="5" width="32.88671875" style="3" customWidth="1"/>
    <col min="6" max="6" width="58.33203125" style="3" customWidth="1"/>
    <col min="7" max="7" width="28" style="3" customWidth="1"/>
    <col min="8" max="16384" width="11.44140625" style="3"/>
  </cols>
  <sheetData>
    <row r="1" spans="1:7">
      <c r="A1" s="2" t="s">
        <v>38</v>
      </c>
    </row>
    <row r="2" spans="1:7" ht="30.75" customHeight="1"/>
    <row r="3" spans="1:7" ht="21" customHeight="1">
      <c r="A3" s="2"/>
    </row>
    <row r="4" spans="1:7">
      <c r="A4" s="4" t="s">
        <v>1</v>
      </c>
      <c r="B4" s="4" t="s">
        <v>2</v>
      </c>
      <c r="C4" s="4"/>
      <c r="D4" s="5" t="s">
        <v>50</v>
      </c>
      <c r="E4" s="5" t="s">
        <v>215</v>
      </c>
      <c r="F4" s="5" t="s">
        <v>54</v>
      </c>
      <c r="G4" s="5" t="s">
        <v>32</v>
      </c>
    </row>
    <row r="5" spans="1:7" s="122" customFormat="1" ht="68.25" customHeight="1">
      <c r="A5" s="120" t="s">
        <v>237</v>
      </c>
      <c r="B5" s="120" t="s">
        <v>31</v>
      </c>
      <c r="C5" s="120" t="s">
        <v>135</v>
      </c>
      <c r="D5" s="121" t="s">
        <v>137</v>
      </c>
      <c r="E5" s="121" t="s">
        <v>216</v>
      </c>
      <c r="F5" s="121" t="s">
        <v>214</v>
      </c>
      <c r="G5" s="121" t="s">
        <v>138</v>
      </c>
    </row>
    <row r="6" spans="1:7" ht="16.5" customHeight="1">
      <c r="A6" s="6"/>
      <c r="B6" s="7"/>
      <c r="C6" s="8" t="str">
        <f>T41_Resp_Rol[[#This Row],[Debe haber rellenado la hoja 3.1.ResponsablesContact para poder acceder al desplegable.]]&amp; " - " &amp; T41_Resp_Rol[[#This Row],[Seleccionar del desplegable]]</f>
        <v xml:space="preserve"> - </v>
      </c>
      <c r="D6" s="9"/>
      <c r="E6" s="9"/>
      <c r="F6" s="7"/>
      <c r="G6" s="7"/>
    </row>
    <row r="7" spans="1:7" ht="12" customHeight="1">
      <c r="A7" s="6"/>
      <c r="B7" s="7"/>
      <c r="C7" s="8" t="str">
        <f>T41_Resp_Rol[[#This Row],[Debe haber rellenado la hoja 3.1.ResponsablesContact para poder acceder al desplegable.]]&amp; " - " &amp; T41_Resp_Rol[[#This Row],[Seleccionar del desplegable]]</f>
        <v xml:space="preserve"> - </v>
      </c>
      <c r="D7" s="9"/>
      <c r="E7" s="9"/>
      <c r="F7" s="7"/>
      <c r="G7" s="7"/>
    </row>
    <row r="8" spans="1:7">
      <c r="A8" s="6"/>
      <c r="B8" s="7"/>
      <c r="C8" s="8" t="str">
        <f>T41_Resp_Rol[[#This Row],[Debe haber rellenado la hoja 3.1.ResponsablesContact para poder acceder al desplegable.]]&amp; " - " &amp; T41_Resp_Rol[[#This Row],[Seleccionar del desplegable]]</f>
        <v xml:space="preserve"> - </v>
      </c>
      <c r="D8" s="7"/>
      <c r="E8" s="9"/>
      <c r="F8" s="7"/>
      <c r="G8" s="7"/>
    </row>
    <row r="9" spans="1:7">
      <c r="A9" s="6"/>
      <c r="B9" s="7"/>
      <c r="C9" s="8" t="str">
        <f>T41_Resp_Rol[[#This Row],[Debe haber rellenado la hoja 3.1.ResponsablesContact para poder acceder al desplegable.]]&amp; " - " &amp; T41_Resp_Rol[[#This Row],[Seleccionar del desplegable]]</f>
        <v xml:space="preserve"> - </v>
      </c>
      <c r="D9" s="7"/>
      <c r="E9" s="9"/>
      <c r="F9" s="7"/>
      <c r="G9" s="7"/>
    </row>
    <row r="10" spans="1:7">
      <c r="A10" s="6"/>
      <c r="B10" s="7"/>
      <c r="C10" s="8" t="str">
        <f>T41_Resp_Rol[[#This Row],[Debe haber rellenado la hoja 3.1.ResponsablesContact para poder acceder al desplegable.]]&amp; " - " &amp; T41_Resp_Rol[[#This Row],[Seleccionar del desplegable]]</f>
        <v xml:space="preserve"> - </v>
      </c>
      <c r="D10" s="7"/>
      <c r="E10" s="11"/>
      <c r="F10" s="7"/>
      <c r="G10" s="7"/>
    </row>
    <row r="11" spans="1:7">
      <c r="A11" s="6"/>
      <c r="B11" s="7"/>
      <c r="C11" s="8" t="str">
        <f>T41_Resp_Rol[[#This Row],[Debe haber rellenado la hoja 3.1.ResponsablesContact para poder acceder al desplegable.]]&amp; " - " &amp; T41_Resp_Rol[[#This Row],[Seleccionar del desplegable]]</f>
        <v xml:space="preserve"> - </v>
      </c>
      <c r="D11" s="7"/>
      <c r="E11" s="11"/>
      <c r="F11" s="7"/>
      <c r="G11" s="7"/>
    </row>
    <row r="12" spans="1:7">
      <c r="A12" s="10"/>
      <c r="B12" s="7"/>
      <c r="C12" s="8" t="str">
        <f>T41_Resp_Rol[[#This Row],[Debe haber rellenado la hoja 3.1.ResponsablesContact para poder acceder al desplegable.]]&amp; " - " &amp; T41_Resp_Rol[[#This Row],[Seleccionar del desplegable]]</f>
        <v xml:space="preserve"> - </v>
      </c>
      <c r="D12" s="7"/>
      <c r="E12" s="11"/>
      <c r="F12" s="11"/>
      <c r="G12" s="11"/>
    </row>
    <row r="13" spans="1:7">
      <c r="A13" s="10"/>
      <c r="B13" s="7"/>
      <c r="C13" s="8" t="str">
        <f>T41_Resp_Rol[[#This Row],[Debe haber rellenado la hoja 3.1.ResponsablesContact para poder acceder al desplegable.]]&amp; " - " &amp; T41_Resp_Rol[[#This Row],[Seleccionar del desplegable]]</f>
        <v xml:space="preserve"> - </v>
      </c>
      <c r="D13" s="7"/>
      <c r="E13" s="11"/>
      <c r="F13" s="7"/>
      <c r="G13" s="7"/>
    </row>
    <row r="14" spans="1:7">
      <c r="A14" s="10"/>
      <c r="B14" s="7"/>
      <c r="C14" s="8" t="str">
        <f>T41_Resp_Rol[[#This Row],[Debe haber rellenado la hoja 3.1.ResponsablesContact para poder acceder al desplegable.]]&amp; " - " &amp; T41_Resp_Rol[[#This Row],[Seleccionar del desplegable]]</f>
        <v xml:space="preserve"> - </v>
      </c>
      <c r="D14" s="7"/>
      <c r="E14" s="11"/>
      <c r="F14" s="7"/>
      <c r="G14" s="7"/>
    </row>
  </sheetData>
  <dataValidations count="2">
    <dataValidation type="list" allowBlank="1" showInputMessage="1" showErrorMessage="1" sqref="B15:C1048576 G15:G1048576">
      <formula1>#REF!</formula1>
    </dataValidation>
    <dataValidation type="list" allowBlank="1" showInputMessage="1" showErrorMessage="1" sqref="A6:A127">
      <formula1>NOMBRE_ORGANIZACION</formula1>
    </dataValidation>
  </dataValidations>
  <hyperlinks>
    <hyperlink ref="A5" location="'4.1.ResponsablesContact'!A1" display="Debe haber rellenado la hoja 4.1.ResponsablesContact para poder acceder al desplegable."/>
  </hyperlink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Aux!$A$2:$A$6</xm:f>
          </x14:formula1>
          <xm:sqref>B5</xm:sqref>
        </x14:dataValidation>
        <x14:dataValidation type="list" allowBlank="1" showInputMessage="1" showErrorMessage="1">
          <x14:formula1>
            <xm:f>Aux!$A$2:$A$6</xm:f>
          </x14:formula1>
          <xm:sqref>B6:B14</xm:sqref>
        </x14:dataValidation>
        <x14:dataValidation type="list" allowBlank="1" showInputMessage="1" showErrorMessage="1">
          <x14:formula1>
            <xm:f>Aux!$E$2:$E$7</xm:f>
          </x14:formula1>
          <xm:sqref>G6:G14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85" zoomScaleNormal="85" workbookViewId="0">
      <selection activeCell="E25" sqref="E25"/>
    </sheetView>
  </sheetViews>
  <sheetFormatPr baseColWidth="10" defaultColWidth="11.44140625" defaultRowHeight="13.8"/>
  <cols>
    <col min="1" max="1" width="41.88671875" style="13" customWidth="1"/>
    <col min="2" max="2" width="29.44140625" style="13" customWidth="1"/>
    <col min="3" max="3" width="24" style="13" customWidth="1"/>
    <col min="4" max="4" width="30.88671875" style="13" customWidth="1"/>
    <col min="5" max="5" width="16.44140625" style="13" customWidth="1"/>
    <col min="6" max="6" width="28.33203125" style="13" customWidth="1"/>
    <col min="7" max="7" width="20.6640625" style="13" customWidth="1"/>
    <col min="8" max="8" width="26.6640625" style="13" customWidth="1"/>
    <col min="9" max="16384" width="11.44140625" style="13"/>
  </cols>
  <sheetData>
    <row r="1" spans="1:8">
      <c r="A1" s="14" t="s">
        <v>38</v>
      </c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spans="1:8">
      <c r="A3" s="2" t="s">
        <v>133</v>
      </c>
      <c r="B3" s="3"/>
      <c r="C3" s="3"/>
      <c r="D3" s="3"/>
      <c r="E3" s="3"/>
      <c r="F3" s="3"/>
      <c r="G3" s="3"/>
      <c r="H3" s="3"/>
    </row>
    <row r="4" spans="1:8" ht="42" customHeight="1">
      <c r="A4" s="72" t="s">
        <v>1</v>
      </c>
      <c r="B4" s="72" t="s">
        <v>19</v>
      </c>
      <c r="C4" s="72" t="s">
        <v>3</v>
      </c>
      <c r="D4" s="72" t="s">
        <v>4</v>
      </c>
      <c r="E4" s="72" t="s">
        <v>5</v>
      </c>
      <c r="F4" s="72" t="s">
        <v>6</v>
      </c>
      <c r="G4" s="72" t="s">
        <v>7</v>
      </c>
      <c r="H4" s="72" t="s">
        <v>47</v>
      </c>
    </row>
    <row r="5" spans="1:8" ht="43.5" customHeight="1">
      <c r="A5" s="119" t="s">
        <v>213</v>
      </c>
      <c r="B5" s="120" t="s">
        <v>130</v>
      </c>
      <c r="C5" s="120" t="s">
        <v>48</v>
      </c>
      <c r="D5" s="120" t="s">
        <v>8</v>
      </c>
      <c r="E5" s="120" t="s">
        <v>9</v>
      </c>
      <c r="F5" s="120" t="s">
        <v>126</v>
      </c>
      <c r="G5" s="120" t="s">
        <v>127</v>
      </c>
      <c r="H5" s="123" t="s">
        <v>72</v>
      </c>
    </row>
    <row r="6" spans="1:8">
      <c r="A6" s="73"/>
      <c r="B6" s="74"/>
      <c r="C6" s="7"/>
      <c r="D6" s="7"/>
      <c r="E6" s="7"/>
      <c r="F6" s="7"/>
      <c r="G6" s="11"/>
      <c r="H6" s="75"/>
    </row>
    <row r="7" spans="1:8">
      <c r="A7" s="73"/>
      <c r="B7" s="74"/>
      <c r="C7" s="7"/>
      <c r="D7" s="7"/>
      <c r="E7" s="7"/>
      <c r="F7" s="7"/>
      <c r="G7" s="11"/>
      <c r="H7" s="75"/>
    </row>
    <row r="8" spans="1:8">
      <c r="A8" s="6"/>
      <c r="B8" s="7"/>
      <c r="C8" s="7"/>
      <c r="D8" s="7"/>
      <c r="E8" s="7"/>
      <c r="F8" s="7"/>
      <c r="G8" s="11"/>
      <c r="H8" s="174"/>
    </row>
    <row r="9" spans="1:8" ht="14.25" customHeight="1">
      <c r="A9" s="10"/>
      <c r="B9" s="11"/>
      <c r="C9" s="7"/>
      <c r="D9" s="7"/>
      <c r="E9" s="7"/>
      <c r="F9" s="7"/>
      <c r="G9" s="11"/>
      <c r="H9" s="42"/>
    </row>
  </sheetData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Normal="100" workbookViewId="0">
      <selection activeCell="D24" sqref="D24"/>
    </sheetView>
  </sheetViews>
  <sheetFormatPr baseColWidth="10" defaultColWidth="11.44140625" defaultRowHeight="13.8"/>
  <cols>
    <col min="1" max="1" width="23.5546875" style="3" customWidth="1"/>
    <col min="2" max="2" width="36.6640625" style="3" customWidth="1"/>
    <col min="3" max="3" width="30.33203125" style="3" customWidth="1"/>
    <col min="4" max="4" width="14.109375" style="3" customWidth="1"/>
    <col min="5" max="5" width="18.6640625" style="3" customWidth="1"/>
    <col min="6" max="7" width="20.109375" style="3" customWidth="1"/>
    <col min="8" max="8" width="36.6640625" style="3" customWidth="1"/>
    <col min="9" max="9" width="23.88671875" style="3" customWidth="1"/>
    <col min="10" max="12" width="28.33203125" style="3" customWidth="1"/>
    <col min="13" max="16384" width="11.44140625" style="3"/>
  </cols>
  <sheetData>
    <row r="1" spans="1:12">
      <c r="A1" s="2" t="s">
        <v>37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>
      <c r="A2" s="12"/>
    </row>
    <row r="3" spans="1:12">
      <c r="A3" s="34" t="s">
        <v>35</v>
      </c>
      <c r="B3" s="118"/>
      <c r="C3" s="12"/>
      <c r="D3" s="114"/>
    </row>
    <row r="4" spans="1:12" ht="41.25" customHeight="1">
      <c r="A4" s="35" t="s">
        <v>220</v>
      </c>
      <c r="B4" s="35" t="s">
        <v>36</v>
      </c>
      <c r="C4" s="35" t="s">
        <v>28</v>
      </c>
      <c r="D4" s="432" t="s">
        <v>22</v>
      </c>
      <c r="E4" s="433"/>
      <c r="F4" s="432" t="s">
        <v>129</v>
      </c>
      <c r="G4" s="433"/>
      <c r="H4" s="35" t="s">
        <v>45</v>
      </c>
    </row>
    <row r="5" spans="1:12" ht="49.5" customHeight="1">
      <c r="A5" s="36" t="s">
        <v>220</v>
      </c>
      <c r="B5" s="37" t="s">
        <v>221</v>
      </c>
      <c r="C5" s="37" t="s">
        <v>29</v>
      </c>
      <c r="D5" s="43" t="s">
        <v>165</v>
      </c>
      <c r="E5" s="43" t="s">
        <v>166</v>
      </c>
      <c r="F5" s="38" t="s">
        <v>104</v>
      </c>
      <c r="G5" s="39" t="s">
        <v>105</v>
      </c>
      <c r="H5" s="43" t="s">
        <v>72</v>
      </c>
    </row>
    <row r="6" spans="1:12">
      <c r="A6" s="7"/>
      <c r="B6" s="7"/>
      <c r="C6" s="7"/>
      <c r="D6" s="7"/>
      <c r="E6" s="7"/>
      <c r="F6" s="40"/>
      <c r="G6" s="40"/>
      <c r="H6" s="41"/>
    </row>
    <row r="7" spans="1:12">
      <c r="A7" s="7"/>
      <c r="B7" s="7"/>
      <c r="C7" s="7"/>
      <c r="D7" s="7"/>
      <c r="E7" s="7"/>
      <c r="F7" s="40"/>
      <c r="G7" s="40"/>
      <c r="H7" s="41"/>
    </row>
    <row r="8" spans="1:12">
      <c r="A8" s="7"/>
      <c r="B8" s="7"/>
      <c r="C8" s="7"/>
      <c r="D8" s="7"/>
      <c r="E8" s="7"/>
      <c r="F8" s="40"/>
      <c r="G8" s="40"/>
      <c r="H8" s="41"/>
    </row>
    <row r="9" spans="1:12">
      <c r="A9" s="7"/>
      <c r="B9" s="7"/>
      <c r="C9" s="7"/>
      <c r="D9" s="7"/>
      <c r="E9" s="7"/>
      <c r="F9" s="40"/>
      <c r="G9" s="40"/>
      <c r="H9" s="41"/>
    </row>
    <row r="10" spans="1:12">
      <c r="A10" s="7"/>
      <c r="B10" s="7"/>
      <c r="C10" s="7"/>
      <c r="D10" s="7"/>
      <c r="E10" s="7"/>
      <c r="F10" s="40"/>
      <c r="G10" s="40"/>
      <c r="H10" s="41"/>
    </row>
    <row r="11" spans="1:12">
      <c r="A11" s="7"/>
      <c r="B11" s="7"/>
      <c r="C11" s="11"/>
      <c r="D11" s="11"/>
      <c r="E11" s="11"/>
      <c r="F11" s="44"/>
      <c r="G11" s="44"/>
      <c r="H11" s="42"/>
    </row>
    <row r="12" spans="1:12">
      <c r="A12" s="7"/>
      <c r="B12" s="7"/>
      <c r="C12" s="189"/>
      <c r="D12" s="189"/>
      <c r="E12" s="189"/>
      <c r="F12" s="190"/>
      <c r="G12" s="190"/>
      <c r="H12" s="180"/>
    </row>
    <row r="13" spans="1:12">
      <c r="A13" s="7"/>
      <c r="B13" s="7"/>
      <c r="C13" s="189"/>
      <c r="D13" s="189"/>
      <c r="E13" s="189"/>
      <c r="F13" s="190"/>
      <c r="G13" s="190"/>
      <c r="H13" s="180"/>
    </row>
    <row r="14" spans="1:12">
      <c r="A14" s="7"/>
      <c r="B14" s="7"/>
      <c r="C14" s="189"/>
      <c r="D14" s="189"/>
      <c r="E14" s="189"/>
      <c r="F14" s="190"/>
      <c r="G14" s="190"/>
      <c r="H14" s="180"/>
    </row>
  </sheetData>
  <mergeCells count="2">
    <mergeCell ref="F4:G4"/>
    <mergeCell ref="D4:E4"/>
  </mergeCells>
  <phoneticPr fontId="34" type="noConversion"/>
  <dataValidations count="6">
    <dataValidation allowBlank="1" showInputMessage="1" showErrorMessage="1" error="Parámetros no incluidos en Reglamento UE 2020/741, anexo I" sqref="C3:C5 C1 C12:C1048576"/>
    <dataValidation type="list" allowBlank="1" showInputMessage="1" showErrorMessage="1" sqref="A6:A14">
      <formula1>denominacion_POI</formula1>
    </dataValidation>
    <dataValidation type="list" allowBlank="1" showInputMessage="1" showErrorMessage="1" sqref="D6:D14">
      <formula1>"Continuo, Una vez a la semana, Dos veces al mes (24 al año), Una vez al mes (2 al año), Una vez al trimestre (4 al año), Otro"</formula1>
    </dataValidation>
    <dataValidation type="list" allowBlank="1" showInputMessage="1" showErrorMessage="1" error="El parámetro introducido no está incluido en Reglamento UE 2020/741, anexo I._x000a_Rellenar en el cuadro inferior." sqref="C6:C11">
      <formula1>#REF!</formula1>
    </dataValidation>
    <dataValidation type="list" allowBlank="1" showInputMessage="1" showErrorMessage="1" sqref="G12:G1048576">
      <formula1>$J$3:$J$5</formula1>
    </dataValidation>
    <dataValidation type="list" allowBlank="1" showInputMessage="1" showErrorMessage="1" sqref="B15:B1048576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'2.5.Uso_Previsto_Clase '!#REF!</xm:f>
          </x14:formula1>
          <xm:sqref>B6:B14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zoomScale="85" zoomScaleNormal="85" workbookViewId="0">
      <selection activeCell="H25" sqref="H25"/>
    </sheetView>
  </sheetViews>
  <sheetFormatPr baseColWidth="10" defaultColWidth="11.44140625" defaultRowHeight="13.8"/>
  <cols>
    <col min="1" max="1" width="12.5546875" style="26" customWidth="1"/>
    <col min="2" max="2" width="21.5546875" style="26" customWidth="1"/>
    <col min="3" max="6" width="28.5546875" style="26" customWidth="1"/>
    <col min="7" max="7" width="18.109375" style="26" customWidth="1"/>
    <col min="8" max="8" width="20.88671875" style="26" customWidth="1"/>
    <col min="9" max="9" width="26.5546875" style="26" customWidth="1"/>
    <col min="10" max="10" width="33.33203125" style="26" customWidth="1"/>
    <col min="11" max="11" width="28.88671875" style="26" customWidth="1"/>
    <col min="12" max="12" width="33.5546875" style="26" customWidth="1"/>
    <col min="13" max="13" width="22.109375" style="26" customWidth="1"/>
    <col min="14" max="14" width="29.88671875" style="26" customWidth="1"/>
    <col min="15" max="15" width="26.33203125" style="26" customWidth="1"/>
    <col min="16" max="16" width="26.5546875" style="26" customWidth="1"/>
    <col min="17" max="17" width="34.5546875" style="26" customWidth="1"/>
    <col min="18" max="16384" width="11.44140625" style="26"/>
  </cols>
  <sheetData>
    <row r="1" spans="1:17" ht="69.75" customHeight="1">
      <c r="A1" s="34" t="s">
        <v>142</v>
      </c>
      <c r="G1" s="114"/>
    </row>
    <row r="2" spans="1:17" ht="40.5" customHeight="1">
      <c r="A2" s="115"/>
      <c r="G2" s="116"/>
      <c r="O2" s="114"/>
    </row>
    <row r="3" spans="1:17" ht="46.5" customHeight="1">
      <c r="A3" s="434" t="s">
        <v>223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</row>
    <row r="4" spans="1:17" ht="49.5" customHeight="1">
      <c r="A4" s="15" t="s">
        <v>68</v>
      </c>
      <c r="B4" s="16" t="s">
        <v>39</v>
      </c>
      <c r="C4" s="17" t="s">
        <v>71</v>
      </c>
      <c r="D4" s="17" t="s">
        <v>253</v>
      </c>
      <c r="E4" s="17" t="s">
        <v>254</v>
      </c>
      <c r="F4" s="17" t="s">
        <v>252</v>
      </c>
      <c r="G4" s="117" t="s">
        <v>212</v>
      </c>
      <c r="H4" s="117" t="s">
        <v>40</v>
      </c>
      <c r="I4" s="17" t="s">
        <v>41</v>
      </c>
      <c r="J4" s="17" t="s">
        <v>241</v>
      </c>
      <c r="K4" s="17" t="s">
        <v>134</v>
      </c>
      <c r="L4" s="17" t="s">
        <v>51</v>
      </c>
      <c r="M4" s="17" t="s">
        <v>33</v>
      </c>
      <c r="N4" s="17" t="s">
        <v>42</v>
      </c>
      <c r="O4" s="18" t="s">
        <v>43</v>
      </c>
      <c r="P4" s="18" t="s">
        <v>44</v>
      </c>
      <c r="Q4" s="20" t="s">
        <v>47</v>
      </c>
    </row>
    <row r="5" spans="1:17" ht="79.5" customHeight="1">
      <c r="A5" s="164" t="s">
        <v>69</v>
      </c>
      <c r="B5" s="27" t="s">
        <v>255</v>
      </c>
      <c r="C5" s="165" t="s">
        <v>256</v>
      </c>
      <c r="D5" s="165" t="s">
        <v>257</v>
      </c>
      <c r="E5" s="165" t="s">
        <v>257</v>
      </c>
      <c r="F5" s="165" t="s">
        <v>256</v>
      </c>
      <c r="G5" s="165" t="s">
        <v>239</v>
      </c>
      <c r="H5" s="165" t="s">
        <v>240</v>
      </c>
      <c r="I5" s="27"/>
      <c r="J5" s="27" t="s">
        <v>242</v>
      </c>
      <c r="K5" s="27" t="s">
        <v>243</v>
      </c>
      <c r="L5" s="27" t="s">
        <v>52</v>
      </c>
      <c r="M5" s="27"/>
      <c r="N5" s="27" t="s">
        <v>244</v>
      </c>
      <c r="O5" s="27" t="s">
        <v>245</v>
      </c>
      <c r="P5" s="27" t="s">
        <v>31</v>
      </c>
      <c r="Q5" s="25" t="s">
        <v>72</v>
      </c>
    </row>
    <row r="6" spans="1:17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</row>
    <row r="7" spans="1:17">
      <c r="A7" s="28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30"/>
    </row>
    <row r="8" spans="1:17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30"/>
    </row>
    <row r="9" spans="1:17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0"/>
    </row>
    <row r="10" spans="1:17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30"/>
    </row>
    <row r="11" spans="1:17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30"/>
    </row>
    <row r="12" spans="1:17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30"/>
    </row>
    <row r="13" spans="1:17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30"/>
    </row>
    <row r="14" spans="1:17">
      <c r="A14" s="31"/>
      <c r="B14" s="29"/>
      <c r="C14" s="29"/>
      <c r="D14" s="29"/>
      <c r="E14" s="29"/>
      <c r="F14" s="29"/>
      <c r="G14" s="29"/>
      <c r="H14" s="32"/>
      <c r="I14" s="32"/>
      <c r="J14" s="32"/>
      <c r="K14" s="32"/>
      <c r="L14" s="32"/>
      <c r="M14" s="32"/>
      <c r="N14" s="32"/>
      <c r="O14" s="32"/>
      <c r="P14" s="32"/>
      <c r="Q14" s="33"/>
    </row>
    <row r="17" spans="2:2">
      <c r="B17" s="26" t="s">
        <v>343</v>
      </c>
    </row>
  </sheetData>
  <mergeCells count="1">
    <mergeCell ref="A3:Q3"/>
  </mergeCells>
  <dataValidations count="3">
    <dataValidation type="list" allowBlank="1" showInputMessage="1" showErrorMessage="1" sqref="B7207:B1048576">
      <formula1>$L$3:$L$6</formula1>
    </dataValidation>
    <dataValidation type="list" allowBlank="1" showInputMessage="1" showErrorMessage="1" sqref="G6:G319">
      <formula1>zona_regable</formula1>
    </dataValidation>
    <dataValidation type="list" allowBlank="1" showInputMessage="1" showErrorMessage="1" sqref="C6:F14 J6:J14 H18:H1048576 H6:H16 B6:B16 B18:B7206">
      <formula1>#REF!</formula1>
    </dataValidation>
  </dataValidations>
  <hyperlinks>
    <hyperlink ref="B5" location="'3.2.5.Det.Clase.Generada'!A1" display="'3.2.5.Det.Clase.Generada'!A1"/>
    <hyperlink ref="C5:F5" location="'3.2.5.Det.Clase.Generada'!A1" display="'3.2.5.Det.Clase.Generada'!A1"/>
    <hyperlink ref="G5:H5" location="'3.4.Cultivo_St.Riego_Clase.Req.'!A1" display="Identificación según plantilla 3.4"/>
    <hyperlink ref="O5" location="'4.1.ResponsablesRol'!A1" display="(Para poder seleccionar del desplegable, será necesario rellenar primero la hoja de 4.1.ResponsablesRol)"/>
  </hyperlink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Aux!$A$2:$A$6</xm:f>
          </x14:formula1>
          <xm:sqref>O6:O14</xm:sqref>
        </x14:dataValidation>
        <x14:dataValidation type="list" allowBlank="1" showInputMessage="1" showErrorMessage="1">
          <x14:formula1>
            <xm:f>Aux!$E$2:$E$7</xm:f>
          </x14:formula1>
          <xm:sqref>P6:P14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selection activeCell="I29" sqref="I28:I29"/>
    </sheetView>
  </sheetViews>
  <sheetFormatPr baseColWidth="10" defaultColWidth="11.44140625" defaultRowHeight="13.8"/>
  <cols>
    <col min="1" max="1" width="12.33203125" style="26" customWidth="1"/>
    <col min="2" max="2" width="21.5546875" style="26" customWidth="1"/>
    <col min="3" max="3" width="40.33203125" style="26" customWidth="1"/>
    <col min="4" max="4" width="26.6640625" style="26" customWidth="1"/>
    <col min="5" max="5" width="18.109375" style="26" customWidth="1"/>
    <col min="6" max="6" width="20.88671875" style="26" customWidth="1"/>
    <col min="7" max="7" width="28.33203125" style="26" customWidth="1"/>
    <col min="8" max="8" width="22.5546875" style="26" customWidth="1"/>
    <col min="9" max="9" width="26.5546875" style="26" customWidth="1"/>
    <col min="10" max="10" width="34.5546875" style="26" customWidth="1"/>
    <col min="11" max="16384" width="11.44140625" style="26"/>
  </cols>
  <sheetData>
    <row r="1" spans="1:10" ht="69.75" customHeight="1">
      <c r="A1" s="34" t="s">
        <v>143</v>
      </c>
      <c r="E1" s="114"/>
    </row>
    <row r="2" spans="1:10" ht="14.25" customHeight="1">
      <c r="A2" s="34"/>
    </row>
    <row r="3" spans="1:10" ht="36.75" customHeight="1">
      <c r="A3" s="435" t="s">
        <v>224</v>
      </c>
      <c r="B3" s="435"/>
      <c r="C3" s="435"/>
      <c r="D3" s="435"/>
      <c r="E3" s="435"/>
      <c r="F3" s="435"/>
      <c r="G3" s="435"/>
      <c r="H3" s="435"/>
      <c r="I3" s="435"/>
      <c r="J3" s="435"/>
    </row>
    <row r="4" spans="1:10">
      <c r="A4" s="15" t="s">
        <v>73</v>
      </c>
      <c r="B4" s="16" t="s">
        <v>39</v>
      </c>
      <c r="C4" s="17" t="s">
        <v>74</v>
      </c>
      <c r="D4" s="17" t="s">
        <v>75</v>
      </c>
      <c r="E4" s="18" t="s">
        <v>30</v>
      </c>
      <c r="F4" s="18" t="s">
        <v>40</v>
      </c>
      <c r="G4" s="19" t="s">
        <v>76</v>
      </c>
      <c r="H4" s="18" t="s">
        <v>43</v>
      </c>
      <c r="I4" s="18" t="s">
        <v>44</v>
      </c>
      <c r="J4" s="20" t="s">
        <v>47</v>
      </c>
    </row>
    <row r="5" spans="1:10" ht="82.8">
      <c r="A5" s="21" t="s">
        <v>78</v>
      </c>
      <c r="B5" s="23" t="s">
        <v>225</v>
      </c>
      <c r="C5" s="23" t="s">
        <v>225</v>
      </c>
      <c r="D5" s="23" t="s">
        <v>225</v>
      </c>
      <c r="E5" s="23"/>
      <c r="F5" s="23" t="s">
        <v>225</v>
      </c>
      <c r="G5" s="24" t="s">
        <v>77</v>
      </c>
      <c r="H5" s="24" t="s">
        <v>238</v>
      </c>
      <c r="I5" s="22" t="s">
        <v>31</v>
      </c>
      <c r="J5" s="25" t="s">
        <v>72</v>
      </c>
    </row>
    <row r="6" spans="1:10">
      <c r="A6" s="28"/>
      <c r="B6" s="29"/>
      <c r="C6" s="29"/>
      <c r="D6" s="29"/>
      <c r="E6" s="29"/>
      <c r="F6" s="29"/>
      <c r="G6" s="60"/>
      <c r="H6" s="29"/>
      <c r="I6" s="29"/>
      <c r="J6" s="30"/>
    </row>
    <row r="7" spans="1:10">
      <c r="A7" s="28"/>
      <c r="B7" s="29"/>
      <c r="C7" s="29"/>
      <c r="D7" s="29"/>
      <c r="E7" s="29"/>
      <c r="F7" s="29"/>
      <c r="G7" s="60"/>
      <c r="H7" s="29"/>
      <c r="I7" s="29"/>
      <c r="J7" s="30"/>
    </row>
    <row r="8" spans="1:10">
      <c r="A8" s="28"/>
      <c r="B8" s="29"/>
      <c r="C8" s="29"/>
      <c r="D8" s="29"/>
      <c r="E8" s="29"/>
      <c r="F8" s="29"/>
      <c r="G8" s="60"/>
      <c r="H8" s="29"/>
      <c r="I8" s="29"/>
      <c r="J8" s="30"/>
    </row>
    <row r="9" spans="1:10">
      <c r="A9" s="28"/>
      <c r="B9" s="29"/>
      <c r="C9" s="29"/>
      <c r="D9" s="29"/>
      <c r="E9" s="29"/>
      <c r="F9" s="29"/>
      <c r="G9" s="60"/>
      <c r="H9" s="29"/>
      <c r="I9" s="29"/>
      <c r="J9" s="30"/>
    </row>
    <row r="10" spans="1:10">
      <c r="A10" s="28"/>
      <c r="B10" s="29"/>
      <c r="C10" s="29"/>
      <c r="D10" s="29"/>
      <c r="E10" s="29"/>
      <c r="F10" s="29"/>
      <c r="G10" s="60"/>
      <c r="H10" s="29"/>
      <c r="I10" s="29"/>
      <c r="J10" s="30"/>
    </row>
    <row r="11" spans="1:10">
      <c r="A11" s="28"/>
      <c r="B11" s="29"/>
      <c r="C11" s="29"/>
      <c r="D11" s="29"/>
      <c r="E11" s="29"/>
      <c r="F11" s="29"/>
      <c r="G11" s="60"/>
      <c r="H11" s="29"/>
      <c r="I11" s="29"/>
      <c r="J11" s="30"/>
    </row>
    <row r="12" spans="1:10">
      <c r="A12" s="28"/>
      <c r="B12" s="29"/>
      <c r="C12" s="29"/>
      <c r="D12" s="29"/>
      <c r="E12" s="29"/>
      <c r="F12" s="29"/>
      <c r="G12" s="60"/>
      <c r="H12" s="29"/>
      <c r="I12" s="29"/>
      <c r="J12" s="30"/>
    </row>
    <row r="13" spans="1:10">
      <c r="A13" s="28"/>
      <c r="B13" s="29"/>
      <c r="C13" s="29"/>
      <c r="D13" s="29"/>
      <c r="E13" s="29"/>
      <c r="F13" s="29"/>
      <c r="G13" s="60"/>
      <c r="H13" s="29"/>
      <c r="I13" s="29"/>
      <c r="J13" s="30"/>
    </row>
    <row r="14" spans="1:10">
      <c r="A14" s="28"/>
      <c r="B14" s="29"/>
      <c r="C14" s="29"/>
      <c r="D14" s="29"/>
      <c r="E14" s="29"/>
      <c r="F14" s="29"/>
      <c r="G14" s="60"/>
      <c r="H14" s="29"/>
      <c r="I14" s="29"/>
      <c r="J14" s="30"/>
    </row>
    <row r="15" spans="1:10">
      <c r="A15" s="28"/>
      <c r="B15" s="29"/>
      <c r="C15" s="29"/>
      <c r="D15" s="29"/>
      <c r="E15" s="29"/>
      <c r="F15" s="29"/>
      <c r="G15" s="60"/>
      <c r="H15" s="29"/>
      <c r="I15" s="29"/>
      <c r="J15" s="30"/>
    </row>
    <row r="16" spans="1:10">
      <c r="A16" s="28"/>
      <c r="B16" s="29"/>
      <c r="C16" s="29"/>
      <c r="D16" s="29"/>
      <c r="E16" s="29"/>
      <c r="F16" s="29"/>
      <c r="G16" s="60"/>
      <c r="H16" s="29"/>
      <c r="I16" s="29"/>
      <c r="J16" s="30"/>
    </row>
    <row r="17" spans="1:10">
      <c r="A17" s="31"/>
      <c r="B17" s="32"/>
      <c r="C17" s="32"/>
      <c r="D17" s="32"/>
      <c r="E17" s="32"/>
      <c r="F17" s="32"/>
      <c r="G17" s="66"/>
      <c r="H17" s="32"/>
      <c r="I17" s="32"/>
      <c r="J17" s="33"/>
    </row>
  </sheetData>
  <mergeCells count="1">
    <mergeCell ref="A3:J3"/>
  </mergeCells>
  <dataValidations count="4">
    <dataValidation type="list" allowBlank="1" showInputMessage="1" showErrorMessage="1" sqref="F18:F1048576">
      <formula1>#REF!</formula1>
    </dataValidation>
    <dataValidation type="list" allowBlank="1" showInputMessage="1" showErrorMessage="1" sqref="E6:E60">
      <formula1>zona_regable</formula1>
    </dataValidation>
    <dataValidation type="list" allowBlank="1" showInputMessage="1" showErrorMessage="1" sqref="H6:H17">
      <formula1>ORGANIZACION_ROL</formula1>
    </dataValidation>
    <dataValidation type="list" allowBlank="1" showInputMessage="1" showErrorMessage="1" sqref="B18:B1048576 F6:F17 B6:D17 I6:I17">
      <formula1>#REF!</formula1>
    </dataValidation>
  </dataValidations>
  <hyperlinks>
    <hyperlink ref="H5" location="'3.1.ResponsablesRol'!A1" display="(Para poder seleccionar del desplegable, será necesario rellenar primero la hoja  4.1.PartesResponsablesRol)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="110" zoomScaleNormal="110" workbookViewId="0">
      <selection activeCell="H25" sqref="H25"/>
    </sheetView>
  </sheetViews>
  <sheetFormatPr baseColWidth="10" defaultColWidth="11.44140625" defaultRowHeight="13.8"/>
  <cols>
    <col min="1" max="1" width="11.109375" style="46" customWidth="1"/>
    <col min="2" max="3" width="18.33203125" style="46" customWidth="1"/>
    <col min="4" max="4" width="15.33203125" style="46" customWidth="1"/>
    <col min="5" max="5" width="29.88671875" style="46" customWidth="1"/>
    <col min="6" max="6" width="30.6640625" style="46" customWidth="1"/>
    <col min="7" max="7" width="23.5546875" style="46" customWidth="1"/>
    <col min="8" max="8" width="11.33203125" style="46" customWidth="1"/>
    <col min="9" max="9" width="33.88671875" style="46" customWidth="1"/>
    <col min="10" max="10" width="13" style="46" customWidth="1"/>
    <col min="11" max="11" width="21.6640625" style="46" customWidth="1"/>
    <col min="12" max="12" width="11.44140625" style="13"/>
    <col min="13" max="16384" width="11.44140625" style="46"/>
  </cols>
  <sheetData>
    <row r="1" spans="1:12">
      <c r="A1" s="45" t="s">
        <v>260</v>
      </c>
      <c r="H1" s="45"/>
      <c r="L1" s="46"/>
    </row>
    <row r="2" spans="1:12">
      <c r="B2" s="45"/>
      <c r="C2" s="45"/>
      <c r="D2" s="45"/>
      <c r="H2" s="436" t="s">
        <v>61</v>
      </c>
      <c r="I2" s="437"/>
      <c r="J2" s="438"/>
    </row>
    <row r="3" spans="1:12" ht="49.5" customHeight="1">
      <c r="A3" s="439" t="s">
        <v>218</v>
      </c>
      <c r="B3" s="440"/>
      <c r="C3" s="441"/>
      <c r="D3" s="47" t="s">
        <v>91</v>
      </c>
      <c r="E3" s="47" t="s">
        <v>90</v>
      </c>
      <c r="F3" s="442" t="s">
        <v>262</v>
      </c>
      <c r="G3" s="443"/>
      <c r="H3" s="48" t="s">
        <v>27</v>
      </c>
      <c r="I3" s="48" t="s">
        <v>55</v>
      </c>
      <c r="J3" s="48" t="s">
        <v>58</v>
      </c>
      <c r="K3" s="49" t="s">
        <v>47</v>
      </c>
      <c r="L3" s="46"/>
    </row>
    <row r="4" spans="1:12" s="53" customFormat="1" ht="44.25" customHeight="1">
      <c r="A4" s="39" t="s">
        <v>177</v>
      </c>
      <c r="B4" s="67" t="s">
        <v>176</v>
      </c>
      <c r="C4" s="68" t="s">
        <v>219</v>
      </c>
      <c r="D4" s="51" t="s">
        <v>62</v>
      </c>
      <c r="E4" s="51" t="s">
        <v>93</v>
      </c>
      <c r="F4" s="51" t="s">
        <v>181</v>
      </c>
      <c r="G4" s="52" t="s">
        <v>103</v>
      </c>
      <c r="H4" s="69" t="s">
        <v>27</v>
      </c>
      <c r="I4" s="52" t="s">
        <v>55</v>
      </c>
      <c r="J4" s="52" t="s">
        <v>147</v>
      </c>
      <c r="K4" s="38" t="s">
        <v>63</v>
      </c>
    </row>
    <row r="5" spans="1:12">
      <c r="A5" s="70" t="s">
        <v>178</v>
      </c>
      <c r="B5" s="70" t="s">
        <v>179</v>
      </c>
      <c r="C5" s="70"/>
      <c r="D5" s="56"/>
      <c r="E5" s="57"/>
      <c r="F5" s="57"/>
      <c r="G5" s="57"/>
      <c r="H5" s="56"/>
      <c r="I5" s="57"/>
      <c r="J5" s="58"/>
      <c r="K5" s="59"/>
      <c r="L5" s="46"/>
    </row>
    <row r="6" spans="1:12">
      <c r="A6" s="70" t="s">
        <v>180</v>
      </c>
      <c r="B6" s="70" t="s">
        <v>263</v>
      </c>
      <c r="C6" s="70"/>
      <c r="D6" s="56"/>
      <c r="E6" s="57"/>
      <c r="F6" s="57"/>
      <c r="G6" s="57"/>
      <c r="H6" s="56"/>
      <c r="I6" s="57"/>
      <c r="J6" s="58"/>
      <c r="K6" s="59"/>
      <c r="L6" s="46"/>
    </row>
    <row r="7" spans="1:12">
      <c r="A7" s="70" t="s">
        <v>178</v>
      </c>
      <c r="B7" s="70" t="s">
        <v>46</v>
      </c>
      <c r="C7" s="70" t="s">
        <v>264</v>
      </c>
      <c r="D7" s="56"/>
      <c r="E7" s="57"/>
      <c r="F7" s="57"/>
      <c r="G7" s="57"/>
      <c r="H7" s="56"/>
      <c r="I7" s="57"/>
      <c r="J7" s="58"/>
      <c r="K7" s="59"/>
      <c r="L7" s="46"/>
    </row>
    <row r="8" spans="1:12">
      <c r="A8" s="70"/>
      <c r="B8" s="70"/>
      <c r="C8" s="70"/>
      <c r="D8" s="56"/>
      <c r="E8" s="57"/>
      <c r="F8" s="57"/>
      <c r="G8" s="57"/>
      <c r="H8" s="56"/>
      <c r="I8" s="57"/>
      <c r="J8" s="58"/>
      <c r="K8" s="59"/>
      <c r="L8" s="46"/>
    </row>
    <row r="9" spans="1:12">
      <c r="A9" s="167"/>
      <c r="B9" s="167"/>
      <c r="C9" s="167"/>
      <c r="D9" s="168"/>
      <c r="E9" s="169"/>
      <c r="F9" s="169"/>
      <c r="G9" s="169"/>
      <c r="H9" s="168"/>
      <c r="I9" s="169"/>
      <c r="J9" s="170"/>
      <c r="K9" s="171"/>
      <c r="L9" s="46"/>
    </row>
    <row r="10" spans="1:12">
      <c r="A10" s="167"/>
      <c r="B10" s="167"/>
      <c r="C10" s="167"/>
      <c r="D10" s="168"/>
      <c r="E10" s="169"/>
      <c r="F10" s="169"/>
      <c r="G10" s="169"/>
      <c r="H10" s="168"/>
      <c r="I10" s="169"/>
      <c r="J10" s="170"/>
      <c r="K10" s="171"/>
      <c r="L10" s="46"/>
    </row>
    <row r="11" spans="1:12">
      <c r="E11" s="71"/>
    </row>
    <row r="22" spans="8:8">
      <c r="H22" s="46" t="s">
        <v>170</v>
      </c>
    </row>
  </sheetData>
  <mergeCells count="3">
    <mergeCell ref="H2:J2"/>
    <mergeCell ref="A3:C3"/>
    <mergeCell ref="F3:G3"/>
  </mergeCells>
  <dataValidations count="4">
    <dataValidation type="list" allowBlank="1" showInputMessage="1" showErrorMessage="1" sqref="D5:D7 D8:D10">
      <formula1>"SI, NO"</formula1>
    </dataValidation>
    <dataValidation type="list" allowBlank="1" showInputMessage="1" showErrorMessage="1" sqref="A5:A7 A8:A10">
      <formula1>"Bacterias,Protozoos,Helmintos,Virus"</formula1>
    </dataValidation>
    <dataValidation type="list" allowBlank="1" showInputMessage="1" showErrorMessage="1" sqref="B5:B7 B8:B10">
      <formula1>"E. coli,Campilobacteria,Cryptosporidium,Nemátodos intestinales,Rotavirus,Otros"</formula1>
    </dataValidation>
    <dataValidation type="list" allowBlank="1" showInputMessage="1" showErrorMessage="1" sqref="G5:G7 G8:G10">
      <formula1>#REF!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workbookViewId="0">
      <selection activeCell="J23" sqref="J23"/>
    </sheetView>
  </sheetViews>
  <sheetFormatPr baseColWidth="10" defaultColWidth="11.44140625" defaultRowHeight="13.8"/>
  <cols>
    <col min="1" max="1" width="23.44140625" style="46" customWidth="1"/>
    <col min="2" max="2" width="20" style="46" customWidth="1"/>
    <col min="3" max="3" width="15.33203125" style="46" customWidth="1"/>
    <col min="4" max="4" width="45.109375" style="46" customWidth="1"/>
    <col min="5" max="5" width="33.88671875" style="46" customWidth="1"/>
    <col min="6" max="6" width="20.88671875" style="46" customWidth="1"/>
    <col min="7" max="7" width="12.44140625" style="46" customWidth="1"/>
    <col min="8" max="8" width="27.5546875" style="46" customWidth="1"/>
    <col min="9" max="9" width="14.5546875" style="46" customWidth="1"/>
    <col min="10" max="10" width="21.6640625" style="46" customWidth="1"/>
    <col min="11" max="11" width="11.44140625" style="13"/>
    <col min="12" max="16384" width="11.44140625" style="46"/>
  </cols>
  <sheetData>
    <row r="1" spans="1:11">
      <c r="A1" s="45" t="s">
        <v>60</v>
      </c>
      <c r="G1" s="45"/>
      <c r="K1" s="46"/>
    </row>
    <row r="2" spans="1:11">
      <c r="B2" s="45"/>
      <c r="C2" s="45"/>
      <c r="G2" s="436" t="s">
        <v>61</v>
      </c>
      <c r="H2" s="437"/>
      <c r="I2" s="438"/>
    </row>
    <row r="3" spans="1:11" ht="54" customHeight="1">
      <c r="A3" s="439" t="s">
        <v>182</v>
      </c>
      <c r="B3" s="444"/>
      <c r="C3" s="47" t="s">
        <v>91</v>
      </c>
      <c r="D3" s="47" t="s">
        <v>59</v>
      </c>
      <c r="E3" s="442" t="s">
        <v>203</v>
      </c>
      <c r="F3" s="443"/>
      <c r="G3" s="48" t="s">
        <v>27</v>
      </c>
      <c r="H3" s="48" t="s">
        <v>55</v>
      </c>
      <c r="I3" s="48" t="s">
        <v>145</v>
      </c>
      <c r="J3" s="49" t="s">
        <v>47</v>
      </c>
      <c r="K3" s="46"/>
    </row>
    <row r="4" spans="1:11" s="53" customFormat="1" ht="44.25" customHeight="1">
      <c r="A4" s="50" t="s">
        <v>28</v>
      </c>
      <c r="B4" s="39" t="s">
        <v>136</v>
      </c>
      <c r="C4" s="51" t="s">
        <v>62</v>
      </c>
      <c r="D4" s="51" t="s">
        <v>64</v>
      </c>
      <c r="E4" s="51" t="s">
        <v>144</v>
      </c>
      <c r="F4" s="52" t="s">
        <v>103</v>
      </c>
      <c r="G4" s="52" t="s">
        <v>27</v>
      </c>
      <c r="H4" s="52" t="s">
        <v>55</v>
      </c>
      <c r="I4" s="52" t="s">
        <v>146</v>
      </c>
      <c r="J4" s="38" t="s">
        <v>63</v>
      </c>
    </row>
    <row r="5" spans="1:11">
      <c r="A5" s="54" t="s">
        <v>56</v>
      </c>
      <c r="B5" s="54"/>
      <c r="C5" s="56"/>
      <c r="D5" s="57"/>
      <c r="E5" s="57"/>
      <c r="F5" s="57"/>
      <c r="G5" s="56"/>
      <c r="H5" s="57"/>
      <c r="I5" s="58"/>
      <c r="J5" s="59"/>
      <c r="K5" s="46"/>
    </row>
    <row r="6" spans="1:11">
      <c r="A6" s="54" t="s">
        <v>149</v>
      </c>
      <c r="B6" s="54"/>
      <c r="C6" s="56"/>
      <c r="D6" s="57"/>
      <c r="E6" s="57"/>
      <c r="F6" s="57"/>
      <c r="G6" s="56"/>
      <c r="H6" s="57"/>
      <c r="I6" s="58"/>
      <c r="J6" s="60"/>
      <c r="K6" s="46"/>
    </row>
    <row r="7" spans="1:11">
      <c r="A7" s="54" t="s">
        <v>154</v>
      </c>
      <c r="B7" s="54"/>
      <c r="C7" s="56"/>
      <c r="D7" s="57"/>
      <c r="E7" s="57"/>
      <c r="F7" s="57"/>
      <c r="G7" s="56"/>
      <c r="H7" s="57"/>
      <c r="I7" s="58"/>
      <c r="J7" s="60"/>
      <c r="K7" s="46"/>
    </row>
    <row r="8" spans="1:11">
      <c r="A8" s="54" t="s">
        <v>159</v>
      </c>
      <c r="B8" s="54"/>
      <c r="C8" s="168"/>
      <c r="D8" s="57"/>
      <c r="E8" s="169"/>
      <c r="F8" s="169"/>
      <c r="G8" s="168"/>
      <c r="H8" s="169"/>
      <c r="I8" s="170"/>
      <c r="J8" s="191"/>
      <c r="K8" s="46"/>
    </row>
    <row r="9" spans="1:11">
      <c r="A9" s="54" t="s">
        <v>57</v>
      </c>
      <c r="B9" s="54"/>
      <c r="C9" s="56"/>
      <c r="D9" s="57"/>
      <c r="E9" s="57"/>
      <c r="F9" s="57"/>
      <c r="G9" s="56"/>
      <c r="H9" s="57"/>
      <c r="I9" s="58"/>
      <c r="J9" s="60"/>
      <c r="K9" s="46"/>
    </row>
    <row r="10" spans="1:11" ht="27.6">
      <c r="A10" s="54" t="s">
        <v>161</v>
      </c>
      <c r="B10" s="54"/>
      <c r="C10" s="56"/>
      <c r="D10" s="57"/>
      <c r="E10" s="57"/>
      <c r="F10" s="57"/>
      <c r="G10" s="56"/>
      <c r="H10" s="57"/>
      <c r="I10" s="58"/>
      <c r="J10" s="60"/>
      <c r="K10" s="46"/>
    </row>
    <row r="11" spans="1:11" ht="27.6">
      <c r="A11" s="54" t="s">
        <v>162</v>
      </c>
      <c r="B11" s="54"/>
      <c r="C11" s="56"/>
      <c r="D11" s="57"/>
      <c r="E11" s="57"/>
      <c r="F11" s="57"/>
      <c r="G11" s="56"/>
      <c r="H11" s="57"/>
      <c r="I11" s="58"/>
      <c r="J11" s="60"/>
      <c r="K11" s="46"/>
    </row>
    <row r="12" spans="1:11">
      <c r="A12" s="54" t="s">
        <v>46</v>
      </c>
      <c r="B12" s="54"/>
      <c r="C12" s="56"/>
      <c r="D12" s="57"/>
      <c r="E12" s="57"/>
      <c r="F12" s="57"/>
      <c r="G12" s="56"/>
      <c r="H12" s="57"/>
      <c r="I12" s="58"/>
      <c r="J12" s="60"/>
      <c r="K12" s="46"/>
    </row>
    <row r="13" spans="1:11">
      <c r="A13" s="54"/>
      <c r="B13" s="55"/>
      <c r="C13" s="56"/>
      <c r="D13" s="57"/>
      <c r="E13" s="57"/>
      <c r="F13" s="57"/>
      <c r="G13" s="56"/>
      <c r="H13" s="57"/>
      <c r="I13" s="58"/>
      <c r="J13" s="60"/>
      <c r="K13" s="46"/>
    </row>
    <row r="14" spans="1:11">
      <c r="A14" s="61"/>
      <c r="B14" s="62"/>
      <c r="C14" s="63"/>
      <c r="D14" s="64"/>
      <c r="E14" s="64"/>
      <c r="F14" s="64"/>
      <c r="G14" s="63"/>
      <c r="H14" s="64"/>
      <c r="I14" s="65"/>
      <c r="J14" s="66"/>
      <c r="K14" s="46"/>
    </row>
    <row r="15" spans="1:11">
      <c r="K15" s="46"/>
    </row>
    <row r="16" spans="1:11">
      <c r="K16" s="46"/>
    </row>
    <row r="17" spans="11:11">
      <c r="K17" s="46"/>
    </row>
  </sheetData>
  <mergeCells count="3">
    <mergeCell ref="G2:I2"/>
    <mergeCell ref="A3:B3"/>
    <mergeCell ref="E3:F3"/>
  </mergeCells>
  <dataValidations count="2">
    <dataValidation type="list" allowBlank="1" showInputMessage="1" showErrorMessage="1" sqref="C5:C14">
      <formula1>"SI, NO"</formula1>
    </dataValidation>
    <dataValidation type="list" allowBlank="1" showInputMessage="1" showErrorMessage="1" sqref="F5:F14 A14">
      <formula1>#REF!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Aux!$B$2:$B$9</xm:f>
          </x14:formula1>
          <xm:sqref>A13</xm:sqref>
        </x14:dataValidation>
        <x14:dataValidation type="list" allowBlank="1" showInputMessage="1" showErrorMessage="1">
          <x14:formula1>
            <xm:f>'\\madricpd2fs00\datos\Proyectos\3055320-DIGITALIZACION SGPAGR\02_DIGITALIZACIÓN DE LA INFORMACIÓN DE VERTIDOS\PGRAR USO URBANO TYPSA\ACTUALIZACIONESDIC2025\[WT1922-Datos_PGRAR_urbano_D01.xlsx]Aux'!#REF!</xm:f>
          </x14:formula1>
          <xm:sqref>A5:B12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1"/>
  <sheetViews>
    <sheetView workbookViewId="0">
      <selection activeCell="F39" sqref="F39"/>
    </sheetView>
  </sheetViews>
  <sheetFormatPr baseColWidth="10" defaultColWidth="11.44140625" defaultRowHeight="14.4"/>
  <cols>
    <col min="1" max="1" width="11.44140625" style="213"/>
    <col min="2" max="2" width="41.44140625" style="213" bestFit="1" customWidth="1"/>
    <col min="3" max="3" width="31.109375" style="213" bestFit="1" customWidth="1"/>
    <col min="4" max="4" width="13.44140625" style="213" bestFit="1" customWidth="1"/>
    <col min="5" max="5" width="20.5546875" style="213" bestFit="1" customWidth="1"/>
    <col min="6" max="6" width="41.6640625" style="213" customWidth="1"/>
    <col min="7" max="7" width="41.33203125" style="213" customWidth="1"/>
    <col min="8" max="16384" width="11.44140625" style="213"/>
  </cols>
  <sheetData>
    <row r="1" spans="1:7">
      <c r="A1" s="212" t="s">
        <v>227</v>
      </c>
      <c r="B1" s="218" t="s">
        <v>228</v>
      </c>
      <c r="C1" s="218" t="s">
        <v>232</v>
      </c>
      <c r="D1" s="218" t="s">
        <v>234</v>
      </c>
      <c r="E1" s="218" t="s">
        <v>32</v>
      </c>
      <c r="F1" s="218" t="s">
        <v>344</v>
      </c>
      <c r="G1" s="219" t="s">
        <v>345</v>
      </c>
    </row>
    <row r="2" spans="1:7" ht="57.6">
      <c r="A2" s="211" t="s">
        <v>49</v>
      </c>
      <c r="B2" s="214" t="s">
        <v>56</v>
      </c>
      <c r="C2" s="214" t="s">
        <v>229</v>
      </c>
      <c r="D2" s="215" t="s">
        <v>235</v>
      </c>
      <c r="E2" s="214" t="s">
        <v>246</v>
      </c>
      <c r="F2" s="216" t="s">
        <v>346</v>
      </c>
      <c r="G2" s="216" t="s">
        <v>347</v>
      </c>
    </row>
    <row r="3" spans="1:7" ht="72">
      <c r="A3" s="211" t="s">
        <v>12</v>
      </c>
      <c r="B3" s="214" t="s">
        <v>149</v>
      </c>
      <c r="C3" s="214" t="s">
        <v>230</v>
      </c>
      <c r="D3" s="215" t="s">
        <v>236</v>
      </c>
      <c r="E3" s="214" t="s">
        <v>247</v>
      </c>
      <c r="F3" s="216" t="s">
        <v>348</v>
      </c>
      <c r="G3" s="216" t="s">
        <v>349</v>
      </c>
    </row>
    <row r="4" spans="1:7" ht="43.2">
      <c r="A4" s="211" t="s">
        <v>13</v>
      </c>
      <c r="B4" s="214" t="s">
        <v>154</v>
      </c>
      <c r="C4" s="214" t="s">
        <v>267</v>
      </c>
      <c r="E4" s="214" t="s">
        <v>248</v>
      </c>
      <c r="F4" s="216" t="s">
        <v>350</v>
      </c>
      <c r="G4" s="216" t="s">
        <v>351</v>
      </c>
    </row>
    <row r="5" spans="1:7" ht="43.2">
      <c r="A5" s="211" t="s">
        <v>14</v>
      </c>
      <c r="B5" s="214" t="s">
        <v>159</v>
      </c>
      <c r="C5" s="214" t="s">
        <v>231</v>
      </c>
      <c r="E5" s="214" t="s">
        <v>249</v>
      </c>
      <c r="F5" s="216" t="s">
        <v>352</v>
      </c>
      <c r="G5" s="216" t="s">
        <v>353</v>
      </c>
    </row>
    <row r="6" spans="1:7" ht="28.8">
      <c r="A6" s="211" t="s">
        <v>217</v>
      </c>
      <c r="B6" s="214" t="s">
        <v>57</v>
      </c>
      <c r="C6" s="214" t="s">
        <v>233</v>
      </c>
      <c r="E6" s="214" t="s">
        <v>251</v>
      </c>
      <c r="F6" s="216" t="s">
        <v>265</v>
      </c>
      <c r="G6" s="216" t="s">
        <v>354</v>
      </c>
    </row>
    <row r="7" spans="1:7" ht="28.8">
      <c r="B7" s="217" t="s">
        <v>161</v>
      </c>
      <c r="E7" s="214" t="s">
        <v>250</v>
      </c>
      <c r="F7" s="216" t="s">
        <v>355</v>
      </c>
    </row>
    <row r="8" spans="1:7">
      <c r="B8" s="214" t="s">
        <v>162</v>
      </c>
      <c r="F8" s="216" t="s">
        <v>356</v>
      </c>
    </row>
    <row r="9" spans="1:7">
      <c r="B9" s="214" t="s">
        <v>46</v>
      </c>
      <c r="F9" s="216" t="s">
        <v>357</v>
      </c>
    </row>
    <row r="10" spans="1:7">
      <c r="F10" s="216" t="s">
        <v>358</v>
      </c>
    </row>
    <row r="11" spans="1:7">
      <c r="F11" s="216" t="s">
        <v>359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="85" zoomScaleNormal="85" workbookViewId="0">
      <selection activeCell="R29" sqref="R29"/>
    </sheetView>
  </sheetViews>
  <sheetFormatPr baseColWidth="10" defaultRowHeight="14.4"/>
  <sheetData>
    <row r="1" spans="1:13" ht="15" thickBot="1">
      <c r="A1" s="392" t="s">
        <v>333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4"/>
    </row>
    <row r="2" spans="1:13">
      <c r="A2" s="347" t="s">
        <v>313</v>
      </c>
      <c r="B2" s="348"/>
      <c r="C2" s="348"/>
      <c r="D2" s="348"/>
      <c r="E2" s="349"/>
      <c r="F2" s="398"/>
      <c r="G2" s="399"/>
      <c r="H2" s="399"/>
      <c r="I2" s="399"/>
      <c r="J2" s="399"/>
      <c r="K2" s="399"/>
      <c r="L2" s="399"/>
      <c r="M2" s="400"/>
    </row>
    <row r="3" spans="1:13" ht="15" thickBot="1">
      <c r="A3" s="395" t="s">
        <v>271</v>
      </c>
      <c r="B3" s="396"/>
      <c r="C3" s="396"/>
      <c r="D3" s="396"/>
      <c r="E3" s="397"/>
      <c r="F3" s="401"/>
      <c r="G3" s="402"/>
      <c r="H3" s="402"/>
      <c r="I3" s="402"/>
      <c r="J3" s="402"/>
      <c r="K3" s="402"/>
      <c r="L3" s="402"/>
      <c r="M3" s="403"/>
    </row>
    <row r="4" spans="1:13" ht="26.4" customHeight="1">
      <c r="A4" s="404" t="s">
        <v>314</v>
      </c>
      <c r="B4" s="405"/>
      <c r="C4" s="405"/>
      <c r="D4" s="405"/>
      <c r="E4" s="406"/>
      <c r="F4" s="335"/>
      <c r="G4" s="336"/>
      <c r="H4" s="336"/>
      <c r="I4" s="336"/>
      <c r="J4" s="336"/>
      <c r="K4" s="336"/>
      <c r="L4" s="336"/>
      <c r="M4" s="337"/>
    </row>
    <row r="5" spans="1:13" ht="15" thickBot="1">
      <c r="A5" s="319" t="s">
        <v>316</v>
      </c>
      <c r="B5" s="320"/>
      <c r="C5" s="320"/>
      <c r="D5" s="320"/>
      <c r="E5" s="321"/>
      <c r="F5" s="338"/>
      <c r="G5" s="339"/>
      <c r="H5" s="339"/>
      <c r="I5" s="339"/>
      <c r="J5" s="339"/>
      <c r="K5" s="339"/>
      <c r="L5" s="339"/>
      <c r="M5" s="340"/>
    </row>
    <row r="6" spans="1:13" ht="26.4" customHeight="1">
      <c r="A6" s="310" t="s">
        <v>315</v>
      </c>
      <c r="B6" s="311"/>
      <c r="C6" s="311"/>
      <c r="D6" s="311"/>
      <c r="E6" s="312"/>
      <c r="F6" s="313"/>
      <c r="G6" s="314"/>
      <c r="H6" s="314"/>
      <c r="I6" s="314"/>
      <c r="J6" s="314"/>
      <c r="K6" s="314"/>
      <c r="L6" s="314"/>
      <c r="M6" s="315"/>
    </row>
    <row r="7" spans="1:13" ht="15" thickBot="1">
      <c r="A7" s="319" t="s">
        <v>316</v>
      </c>
      <c r="B7" s="320"/>
      <c r="C7" s="320"/>
      <c r="D7" s="320"/>
      <c r="E7" s="321"/>
      <c r="F7" s="316"/>
      <c r="G7" s="317"/>
      <c r="H7" s="317"/>
      <c r="I7" s="317"/>
      <c r="J7" s="317"/>
      <c r="K7" s="317"/>
      <c r="L7" s="317"/>
      <c r="M7" s="318"/>
    </row>
    <row r="8" spans="1:13">
      <c r="A8" s="347" t="s">
        <v>272</v>
      </c>
      <c r="B8" s="348"/>
      <c r="C8" s="348"/>
      <c r="D8" s="348"/>
      <c r="E8" s="349"/>
      <c r="F8" s="383" t="s">
        <v>322</v>
      </c>
      <c r="G8" s="384"/>
      <c r="H8" s="384"/>
      <c r="I8" s="384"/>
      <c r="J8" s="384"/>
      <c r="K8" s="384"/>
      <c r="L8" s="384"/>
      <c r="M8" s="385"/>
    </row>
    <row r="9" spans="1:13" ht="15" thickBot="1">
      <c r="A9" s="353" t="s">
        <v>273</v>
      </c>
      <c r="B9" s="354"/>
      <c r="C9" s="354"/>
      <c r="D9" s="354"/>
      <c r="E9" s="355"/>
      <c r="F9" s="386"/>
      <c r="G9" s="387"/>
      <c r="H9" s="387"/>
      <c r="I9" s="387"/>
      <c r="J9" s="387"/>
      <c r="K9" s="387"/>
      <c r="L9" s="387"/>
      <c r="M9" s="388"/>
    </row>
    <row r="10" spans="1:13" ht="15" thickBot="1">
      <c r="A10" s="362" t="s">
        <v>274</v>
      </c>
      <c r="B10" s="363"/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4"/>
    </row>
    <row r="11" spans="1:13">
      <c r="A11" s="365" t="s">
        <v>275</v>
      </c>
      <c r="B11" s="367"/>
      <c r="C11" s="365" t="s">
        <v>276</v>
      </c>
      <c r="D11" s="366"/>
      <c r="E11" s="366"/>
      <c r="F11" s="367"/>
      <c r="G11" s="365" t="s">
        <v>277</v>
      </c>
      <c r="H11" s="366"/>
      <c r="I11" s="366"/>
      <c r="J11" s="367"/>
      <c r="K11" s="365" t="s">
        <v>278</v>
      </c>
      <c r="L11" s="366"/>
      <c r="M11" s="367"/>
    </row>
    <row r="12" spans="1:13" ht="15" thickBot="1">
      <c r="A12" s="368"/>
      <c r="B12" s="370"/>
      <c r="C12" s="368"/>
      <c r="D12" s="369"/>
      <c r="E12" s="369"/>
      <c r="F12" s="370"/>
      <c r="G12" s="368"/>
      <c r="H12" s="369"/>
      <c r="I12" s="369"/>
      <c r="J12" s="370"/>
      <c r="K12" s="389" t="s">
        <v>279</v>
      </c>
      <c r="L12" s="390"/>
      <c r="M12" s="391"/>
    </row>
    <row r="13" spans="1:13" ht="31.2" customHeight="1" thickBot="1">
      <c r="A13" s="344"/>
      <c r="B13" s="346"/>
      <c r="C13" s="344"/>
      <c r="D13" s="345"/>
      <c r="E13" s="345"/>
      <c r="F13" s="346"/>
      <c r="G13" s="344"/>
      <c r="H13" s="345"/>
      <c r="I13" s="345"/>
      <c r="J13" s="346"/>
      <c r="K13" s="380"/>
      <c r="L13" s="381"/>
      <c r="M13" s="382"/>
    </row>
    <row r="14" spans="1:13" ht="15" thickBot="1">
      <c r="A14" s="362" t="s">
        <v>280</v>
      </c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4"/>
    </row>
    <row r="15" spans="1:13" ht="26.4" customHeight="1">
      <c r="A15" s="365" t="s">
        <v>281</v>
      </c>
      <c r="B15" s="366"/>
      <c r="C15" s="367"/>
      <c r="D15" s="365" t="s">
        <v>282</v>
      </c>
      <c r="E15" s="366"/>
      <c r="F15" s="366"/>
      <c r="G15" s="366"/>
      <c r="H15" s="366"/>
      <c r="I15" s="366"/>
      <c r="J15" s="366"/>
      <c r="K15" s="367"/>
      <c r="L15" s="365" t="s">
        <v>283</v>
      </c>
      <c r="M15" s="367"/>
    </row>
    <row r="16" spans="1:13" ht="15" thickBot="1">
      <c r="A16" s="368"/>
      <c r="B16" s="369"/>
      <c r="C16" s="370"/>
      <c r="D16" s="368" t="s">
        <v>317</v>
      </c>
      <c r="E16" s="369"/>
      <c r="F16" s="369"/>
      <c r="G16" s="369"/>
      <c r="H16" s="369"/>
      <c r="I16" s="369"/>
      <c r="J16" s="369"/>
      <c r="K16" s="370"/>
      <c r="L16" s="368"/>
      <c r="M16" s="370"/>
    </row>
    <row r="17" spans="1:13" ht="15" thickBot="1">
      <c r="A17" s="344"/>
      <c r="B17" s="345"/>
      <c r="C17" s="346"/>
      <c r="D17" s="344"/>
      <c r="E17" s="345"/>
      <c r="F17" s="345"/>
      <c r="G17" s="345"/>
      <c r="H17" s="345"/>
      <c r="I17" s="345"/>
      <c r="J17" s="345"/>
      <c r="K17" s="346"/>
      <c r="L17" s="344"/>
      <c r="M17" s="346"/>
    </row>
    <row r="18" spans="1:13" ht="15" thickBot="1">
      <c r="A18" s="377" t="s">
        <v>284</v>
      </c>
      <c r="B18" s="378"/>
      <c r="C18" s="379"/>
      <c r="D18" s="377" t="s">
        <v>285</v>
      </c>
      <c r="E18" s="378"/>
      <c r="F18" s="378"/>
      <c r="G18" s="379"/>
      <c r="H18" s="377" t="s">
        <v>286</v>
      </c>
      <c r="I18" s="378"/>
      <c r="J18" s="378"/>
      <c r="K18" s="379"/>
      <c r="L18" s="377" t="s">
        <v>287</v>
      </c>
      <c r="M18" s="379"/>
    </row>
    <row r="19" spans="1:13" ht="24" customHeight="1">
      <c r="A19" s="356" t="s">
        <v>288</v>
      </c>
      <c r="B19" s="357"/>
      <c r="C19" s="358"/>
      <c r="D19" s="371" t="s">
        <v>326</v>
      </c>
      <c r="E19" s="357"/>
      <c r="F19" s="357"/>
      <c r="G19" s="358"/>
      <c r="H19" s="371" t="s">
        <v>328</v>
      </c>
      <c r="I19" s="357"/>
      <c r="J19" s="357"/>
      <c r="K19" s="358"/>
      <c r="L19" s="371" t="s">
        <v>329</v>
      </c>
      <c r="M19" s="358"/>
    </row>
    <row r="20" spans="1:13">
      <c r="A20" s="372" t="s">
        <v>323</v>
      </c>
      <c r="B20" s="360"/>
      <c r="C20" s="361"/>
      <c r="D20" s="372" t="s">
        <v>327</v>
      </c>
      <c r="E20" s="360"/>
      <c r="F20" s="360"/>
      <c r="G20" s="361"/>
      <c r="H20" s="359" t="s">
        <v>290</v>
      </c>
      <c r="I20" s="360"/>
      <c r="J20" s="360"/>
      <c r="K20" s="361"/>
      <c r="L20" s="372" t="s">
        <v>330</v>
      </c>
      <c r="M20" s="361"/>
    </row>
    <row r="21" spans="1:13">
      <c r="A21" s="372" t="s">
        <v>324</v>
      </c>
      <c r="B21" s="360"/>
      <c r="C21" s="361"/>
      <c r="D21" s="359" t="s">
        <v>289</v>
      </c>
      <c r="E21" s="360"/>
      <c r="F21" s="360"/>
      <c r="G21" s="361"/>
      <c r="H21" s="359" t="s">
        <v>291</v>
      </c>
      <c r="I21" s="360"/>
      <c r="J21" s="360"/>
      <c r="K21" s="361"/>
      <c r="L21" s="359" t="s">
        <v>292</v>
      </c>
      <c r="M21" s="361"/>
    </row>
    <row r="22" spans="1:13" ht="15" customHeight="1" thickBot="1">
      <c r="A22" s="373" t="s">
        <v>325</v>
      </c>
      <c r="B22" s="333"/>
      <c r="C22" s="334"/>
      <c r="D22" s="374"/>
      <c r="E22" s="375"/>
      <c r="F22" s="375"/>
      <c r="G22" s="376"/>
      <c r="H22" s="359" t="s">
        <v>318</v>
      </c>
      <c r="I22" s="360"/>
      <c r="J22" s="360"/>
      <c r="K22" s="361"/>
      <c r="L22" s="332" t="s">
        <v>289</v>
      </c>
      <c r="M22" s="334"/>
    </row>
    <row r="23" spans="1:13" ht="15" thickBot="1">
      <c r="A23" s="362" t="s">
        <v>293</v>
      </c>
      <c r="B23" s="363"/>
      <c r="C23" s="363"/>
      <c r="D23" s="363"/>
      <c r="E23" s="363"/>
      <c r="F23" s="363"/>
      <c r="G23" s="363"/>
      <c r="H23" s="363"/>
      <c r="I23" s="363"/>
      <c r="J23" s="363"/>
      <c r="K23" s="363"/>
      <c r="L23" s="363"/>
      <c r="M23" s="364"/>
    </row>
    <row r="24" spans="1:13">
      <c r="A24" s="365" t="s">
        <v>294</v>
      </c>
      <c r="B24" s="366"/>
      <c r="C24" s="367"/>
      <c r="D24" s="365" t="s">
        <v>295</v>
      </c>
      <c r="E24" s="366"/>
      <c r="F24" s="366"/>
      <c r="G24" s="366"/>
      <c r="H24" s="367"/>
      <c r="I24" s="365" t="s">
        <v>296</v>
      </c>
      <c r="J24" s="366"/>
      <c r="K24" s="366"/>
      <c r="L24" s="366"/>
      <c r="M24" s="367"/>
    </row>
    <row r="25" spans="1:13" ht="15" thickBot="1">
      <c r="A25" s="368"/>
      <c r="B25" s="369"/>
      <c r="C25" s="370"/>
      <c r="D25" s="368"/>
      <c r="E25" s="369"/>
      <c r="F25" s="369"/>
      <c r="G25" s="369"/>
      <c r="H25" s="370"/>
      <c r="I25" s="368" t="s">
        <v>297</v>
      </c>
      <c r="J25" s="369"/>
      <c r="K25" s="369"/>
      <c r="L25" s="369"/>
      <c r="M25" s="370"/>
    </row>
    <row r="26" spans="1:13">
      <c r="A26" s="356" t="s">
        <v>298</v>
      </c>
      <c r="B26" s="357"/>
      <c r="C26" s="358"/>
      <c r="D26" s="335" t="s">
        <v>319</v>
      </c>
      <c r="E26" s="336"/>
      <c r="F26" s="336"/>
      <c r="G26" s="336"/>
      <c r="H26" s="337"/>
      <c r="I26" s="335" t="s">
        <v>319</v>
      </c>
      <c r="J26" s="336"/>
      <c r="K26" s="336"/>
      <c r="L26" s="336"/>
      <c r="M26" s="337"/>
    </row>
    <row r="27" spans="1:13" ht="15" thickBot="1">
      <c r="A27" s="332" t="s">
        <v>299</v>
      </c>
      <c r="B27" s="333"/>
      <c r="C27" s="334"/>
      <c r="D27" s="338"/>
      <c r="E27" s="339"/>
      <c r="F27" s="339"/>
      <c r="G27" s="339"/>
      <c r="H27" s="340"/>
      <c r="I27" s="338"/>
      <c r="J27" s="339"/>
      <c r="K27" s="339"/>
      <c r="L27" s="339"/>
      <c r="M27" s="340"/>
    </row>
    <row r="28" spans="1:13" ht="28.2" customHeight="1" thickBot="1">
      <c r="A28" s="341" t="s">
        <v>300</v>
      </c>
      <c r="B28" s="342"/>
      <c r="C28" s="342"/>
      <c r="D28" s="342"/>
      <c r="E28" s="342"/>
      <c r="F28" s="342"/>
      <c r="G28" s="342"/>
      <c r="H28" s="343"/>
      <c r="I28" s="344" t="s">
        <v>331</v>
      </c>
      <c r="J28" s="345"/>
      <c r="K28" s="345"/>
      <c r="L28" s="345"/>
      <c r="M28" s="346"/>
    </row>
    <row r="29" spans="1:13">
      <c r="A29" s="347" t="s">
        <v>301</v>
      </c>
      <c r="B29" s="348"/>
      <c r="C29" s="349"/>
      <c r="D29" s="356" t="s">
        <v>320</v>
      </c>
      <c r="E29" s="357"/>
      <c r="F29" s="357"/>
      <c r="G29" s="357"/>
      <c r="H29" s="357"/>
      <c r="I29" s="357"/>
      <c r="J29" s="357"/>
      <c r="K29" s="357"/>
      <c r="L29" s="357"/>
      <c r="M29" s="358"/>
    </row>
    <row r="30" spans="1:13">
      <c r="A30" s="350"/>
      <c r="B30" s="351"/>
      <c r="C30" s="352"/>
      <c r="D30" s="359" t="s">
        <v>302</v>
      </c>
      <c r="E30" s="360"/>
      <c r="F30" s="360"/>
      <c r="G30" s="360"/>
      <c r="H30" s="360"/>
      <c r="I30" s="360"/>
      <c r="J30" s="360"/>
      <c r="K30" s="360"/>
      <c r="L30" s="360"/>
      <c r="M30" s="361"/>
    </row>
    <row r="31" spans="1:13" ht="15" thickBot="1">
      <c r="A31" s="353"/>
      <c r="B31" s="354"/>
      <c r="C31" s="355"/>
      <c r="D31" s="332" t="s">
        <v>303</v>
      </c>
      <c r="E31" s="333"/>
      <c r="F31" s="333"/>
      <c r="G31" s="333"/>
      <c r="H31" s="333"/>
      <c r="I31" s="333"/>
      <c r="J31" s="333"/>
      <c r="K31" s="333"/>
      <c r="L31" s="333"/>
      <c r="M31" s="334"/>
    </row>
    <row r="32" spans="1:13" ht="15" thickBot="1">
      <c r="A32" s="322" t="s">
        <v>304</v>
      </c>
      <c r="B32" s="323"/>
      <c r="C32" s="324"/>
      <c r="D32" s="325" t="s">
        <v>332</v>
      </c>
      <c r="E32" s="326"/>
      <c r="F32" s="326"/>
      <c r="G32" s="326"/>
      <c r="H32" s="326"/>
      <c r="I32" s="326"/>
      <c r="J32" s="326"/>
      <c r="K32" s="326"/>
      <c r="L32" s="326"/>
      <c r="M32" s="327"/>
    </row>
    <row r="33" spans="1:13">
      <c r="A33" s="328" t="s">
        <v>305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29"/>
      <c r="L33" s="329"/>
      <c r="M33" s="330"/>
    </row>
    <row r="34" spans="1:13" ht="70.2" customHeight="1">
      <c r="A34" s="196" t="s">
        <v>306</v>
      </c>
      <c r="B34" s="331" t="s">
        <v>306</v>
      </c>
      <c r="C34" s="331"/>
      <c r="D34" s="331"/>
      <c r="E34" s="331" t="s">
        <v>309</v>
      </c>
      <c r="F34" s="331"/>
      <c r="G34" s="331"/>
      <c r="H34" s="331"/>
      <c r="I34" s="331"/>
      <c r="J34" s="331" t="s">
        <v>311</v>
      </c>
      <c r="K34" s="331"/>
      <c r="L34" s="331"/>
      <c r="M34" s="331" t="s">
        <v>312</v>
      </c>
    </row>
    <row r="35" spans="1:13">
      <c r="A35" s="196" t="s">
        <v>307</v>
      </c>
      <c r="B35" s="331" t="s">
        <v>308</v>
      </c>
      <c r="C35" s="331"/>
      <c r="D35" s="331"/>
      <c r="E35" s="331" t="s">
        <v>310</v>
      </c>
      <c r="F35" s="331"/>
      <c r="G35" s="331"/>
      <c r="H35" s="331"/>
      <c r="I35" s="331"/>
      <c r="J35" s="331"/>
      <c r="K35" s="331"/>
      <c r="L35" s="331"/>
      <c r="M35" s="331"/>
    </row>
    <row r="36" spans="1:13" ht="15" thickBot="1">
      <c r="A36" s="194"/>
      <c r="B36" s="306"/>
      <c r="C36" s="307"/>
      <c r="D36" s="308"/>
      <c r="E36" s="309"/>
      <c r="F36" s="307"/>
      <c r="G36" s="307"/>
      <c r="H36" s="307"/>
      <c r="I36" s="308"/>
      <c r="J36" s="306"/>
      <c r="K36" s="307"/>
      <c r="L36" s="308"/>
      <c r="M36" s="195"/>
    </row>
  </sheetData>
  <mergeCells count="78">
    <mergeCell ref="A5:E5"/>
    <mergeCell ref="F4:M5"/>
    <mergeCell ref="A1:M1"/>
    <mergeCell ref="A2:E2"/>
    <mergeCell ref="A3:E3"/>
    <mergeCell ref="F2:M3"/>
    <mergeCell ref="A4:E4"/>
    <mergeCell ref="A8:E8"/>
    <mergeCell ref="A9:E9"/>
    <mergeCell ref="F8:M9"/>
    <mergeCell ref="A10:M10"/>
    <mergeCell ref="A11:B12"/>
    <mergeCell ref="C11:F12"/>
    <mergeCell ref="G11:J12"/>
    <mergeCell ref="K11:M11"/>
    <mergeCell ref="K12:M12"/>
    <mergeCell ref="K13:M13"/>
    <mergeCell ref="A14:M14"/>
    <mergeCell ref="A17:C17"/>
    <mergeCell ref="D17:K17"/>
    <mergeCell ref="L17:M17"/>
    <mergeCell ref="A15:C16"/>
    <mergeCell ref="D15:K15"/>
    <mergeCell ref="D16:K16"/>
    <mergeCell ref="L15:M16"/>
    <mergeCell ref="A13:B13"/>
    <mergeCell ref="C13:F13"/>
    <mergeCell ref="G13:J13"/>
    <mergeCell ref="A18:C18"/>
    <mergeCell ref="D18:G18"/>
    <mergeCell ref="H18:K18"/>
    <mergeCell ref="L18:M18"/>
    <mergeCell ref="A19:C19"/>
    <mergeCell ref="H19:K19"/>
    <mergeCell ref="A20:C20"/>
    <mergeCell ref="A21:C21"/>
    <mergeCell ref="A22:C22"/>
    <mergeCell ref="D19:G19"/>
    <mergeCell ref="D20:G20"/>
    <mergeCell ref="D21:G21"/>
    <mergeCell ref="D22:G22"/>
    <mergeCell ref="H20:K20"/>
    <mergeCell ref="H21:K21"/>
    <mergeCell ref="H22:K22"/>
    <mergeCell ref="L19:M19"/>
    <mergeCell ref="L20:M20"/>
    <mergeCell ref="L21:M21"/>
    <mergeCell ref="L22:M22"/>
    <mergeCell ref="A23:M23"/>
    <mergeCell ref="A24:C25"/>
    <mergeCell ref="D24:H25"/>
    <mergeCell ref="I24:M24"/>
    <mergeCell ref="I25:M25"/>
    <mergeCell ref="D26:H27"/>
    <mergeCell ref="I26:M27"/>
    <mergeCell ref="A28:H28"/>
    <mergeCell ref="I28:M28"/>
    <mergeCell ref="A29:C31"/>
    <mergeCell ref="D29:M29"/>
    <mergeCell ref="D30:M30"/>
    <mergeCell ref="D31:M31"/>
    <mergeCell ref="A26:C26"/>
    <mergeCell ref="B36:D36"/>
    <mergeCell ref="E36:I36"/>
    <mergeCell ref="J36:L36"/>
    <mergeCell ref="A6:E6"/>
    <mergeCell ref="F6:M7"/>
    <mergeCell ref="A7:E7"/>
    <mergeCell ref="A32:C32"/>
    <mergeCell ref="D32:M32"/>
    <mergeCell ref="A33:M33"/>
    <mergeCell ref="B34:D34"/>
    <mergeCell ref="B35:D35"/>
    <mergeCell ref="E34:I34"/>
    <mergeCell ref="E35:I35"/>
    <mergeCell ref="J34:L35"/>
    <mergeCell ref="M34:M35"/>
    <mergeCell ref="A27:C27"/>
  </mergeCells>
  <pageMargins left="0.7" right="0.7" top="0.75" bottom="0.75" header="0.3" footer="0.3"/>
  <pageSetup paperSize="9" orientation="portrait" horizontalDpi="90" verticalDpi="9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B1:AT61"/>
  <sheetViews>
    <sheetView showGridLines="0" zoomScale="70" zoomScaleNormal="70" workbookViewId="0">
      <selection activeCell="H43" sqref="H43"/>
    </sheetView>
  </sheetViews>
  <sheetFormatPr baseColWidth="10" defaultColWidth="12.6640625" defaultRowHeight="14.4"/>
  <cols>
    <col min="1" max="1" width="14.44140625" bestFit="1" customWidth="1"/>
    <col min="2" max="2" width="15.109375" customWidth="1"/>
    <col min="10" max="23" width="12.6640625" style="220"/>
    <col min="24" max="24" width="38.5546875" style="220" customWidth="1"/>
    <col min="42" max="42" width="17.6640625" customWidth="1"/>
    <col min="46" max="46" width="31.33203125" customWidth="1"/>
  </cols>
  <sheetData>
    <row r="1" spans="2:46" ht="15.75" customHeight="1"/>
    <row r="2" spans="2:46" ht="16.5" customHeight="1" thickBot="1">
      <c r="B2" s="445" t="s">
        <v>360</v>
      </c>
      <c r="C2" s="446"/>
      <c r="D2" s="446"/>
      <c r="E2" s="446"/>
      <c r="F2" s="446"/>
      <c r="G2" s="446"/>
      <c r="H2" s="447"/>
    </row>
    <row r="3" spans="2:46" ht="19.2" customHeight="1" thickBot="1">
      <c r="J3" s="448" t="s">
        <v>361</v>
      </c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50"/>
      <c r="Z3" s="448" t="s">
        <v>362</v>
      </c>
      <c r="AA3" s="449"/>
      <c r="AB3" s="449"/>
      <c r="AC3" s="449"/>
      <c r="AD3" s="449"/>
      <c r="AE3" s="449"/>
      <c r="AF3" s="449"/>
      <c r="AG3" s="449"/>
      <c r="AH3" s="449"/>
      <c r="AI3" s="449"/>
      <c r="AJ3" s="449"/>
      <c r="AK3" s="449"/>
      <c r="AL3" s="449"/>
      <c r="AM3" s="449"/>
      <c r="AN3" s="449"/>
      <c r="AO3" s="449"/>
      <c r="AP3" s="449"/>
      <c r="AQ3" s="449"/>
      <c r="AR3" s="449"/>
      <c r="AS3" s="449"/>
      <c r="AT3" s="450"/>
    </row>
    <row r="4" spans="2:46" ht="14.4" customHeight="1">
      <c r="B4" s="454" t="s">
        <v>363</v>
      </c>
      <c r="C4" s="455"/>
      <c r="D4" s="460" t="s">
        <v>364</v>
      </c>
      <c r="E4" s="461"/>
      <c r="F4" s="461"/>
      <c r="G4" s="461"/>
      <c r="H4" s="462"/>
      <c r="J4" s="451"/>
      <c r="K4" s="452"/>
      <c r="L4" s="452"/>
      <c r="M4" s="452"/>
      <c r="N4" s="452"/>
      <c r="O4" s="452"/>
      <c r="P4" s="452"/>
      <c r="Q4" s="452"/>
      <c r="R4" s="452"/>
      <c r="S4" s="452"/>
      <c r="T4" s="452"/>
      <c r="U4" s="452"/>
      <c r="V4" s="452"/>
      <c r="W4" s="452"/>
      <c r="X4" s="453"/>
      <c r="Z4" s="451"/>
      <c r="AA4" s="452"/>
      <c r="AB4" s="452"/>
      <c r="AC4" s="452"/>
      <c r="AD4" s="452"/>
      <c r="AE4" s="452"/>
      <c r="AF4" s="452"/>
      <c r="AG4" s="452"/>
      <c r="AH4" s="452"/>
      <c r="AI4" s="452"/>
      <c r="AJ4" s="452"/>
      <c r="AK4" s="452"/>
      <c r="AL4" s="452"/>
      <c r="AM4" s="452"/>
      <c r="AN4" s="452"/>
      <c r="AO4" s="452"/>
      <c r="AP4" s="452"/>
      <c r="AQ4" s="452"/>
      <c r="AR4" s="452"/>
      <c r="AS4" s="452"/>
      <c r="AT4" s="453"/>
    </row>
    <row r="5" spans="2:46" ht="14.4" customHeight="1">
      <c r="B5" s="456"/>
      <c r="C5" s="457"/>
      <c r="D5" s="220" t="s">
        <v>365</v>
      </c>
      <c r="E5" s="220" t="s">
        <v>366</v>
      </c>
      <c r="F5" s="220" t="s">
        <v>367</v>
      </c>
      <c r="G5" s="220" t="s">
        <v>368</v>
      </c>
      <c r="H5" s="221" t="s">
        <v>369</v>
      </c>
      <c r="J5" s="222"/>
      <c r="X5" s="221"/>
      <c r="Z5" s="223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5"/>
    </row>
    <row r="6" spans="2:46">
      <c r="B6" s="458"/>
      <c r="C6" s="459"/>
      <c r="D6" s="220">
        <v>1</v>
      </c>
      <c r="E6" s="220">
        <v>2</v>
      </c>
      <c r="F6" s="220">
        <v>4</v>
      </c>
      <c r="G6" s="220">
        <v>8</v>
      </c>
      <c r="H6" s="221">
        <v>16</v>
      </c>
      <c r="J6" s="222"/>
      <c r="X6" s="221"/>
      <c r="Z6" s="223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5"/>
    </row>
    <row r="7" spans="2:46">
      <c r="B7" s="226" t="s">
        <v>370</v>
      </c>
      <c r="C7">
        <v>1</v>
      </c>
      <c r="D7" s="227">
        <v>1</v>
      </c>
      <c r="E7" s="228">
        <v>2</v>
      </c>
      <c r="F7" s="228">
        <v>4</v>
      </c>
      <c r="G7" s="229">
        <v>8</v>
      </c>
      <c r="H7" s="230">
        <v>16</v>
      </c>
      <c r="J7" s="222"/>
      <c r="X7" s="221"/>
      <c r="Z7" s="223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5"/>
    </row>
    <row r="8" spans="2:46">
      <c r="B8" s="226" t="s">
        <v>371</v>
      </c>
      <c r="C8">
        <v>2</v>
      </c>
      <c r="D8" s="231">
        <v>2</v>
      </c>
      <c r="E8" s="232">
        <v>4</v>
      </c>
      <c r="F8" s="233">
        <v>8</v>
      </c>
      <c r="G8" s="234">
        <v>16</v>
      </c>
      <c r="H8" s="235">
        <v>32</v>
      </c>
      <c r="J8" s="222"/>
      <c r="X8" s="221"/>
      <c r="Z8" s="223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5"/>
    </row>
    <row r="9" spans="2:46">
      <c r="B9" s="226" t="s">
        <v>372</v>
      </c>
      <c r="C9">
        <v>3</v>
      </c>
      <c r="D9" s="231">
        <v>3</v>
      </c>
      <c r="E9" s="232">
        <v>6</v>
      </c>
      <c r="F9" s="233">
        <v>12</v>
      </c>
      <c r="G9" s="234">
        <v>24</v>
      </c>
      <c r="H9" s="236">
        <v>48</v>
      </c>
      <c r="J9" s="222"/>
      <c r="X9" s="221"/>
      <c r="Z9" s="223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5"/>
    </row>
    <row r="10" spans="2:46">
      <c r="B10" s="226" t="s">
        <v>373</v>
      </c>
      <c r="C10">
        <v>4</v>
      </c>
      <c r="D10" s="231">
        <v>4</v>
      </c>
      <c r="E10" s="233">
        <v>8</v>
      </c>
      <c r="F10" s="234">
        <v>16</v>
      </c>
      <c r="G10" s="234">
        <v>32</v>
      </c>
      <c r="H10" s="236">
        <v>64</v>
      </c>
      <c r="J10" s="222"/>
      <c r="X10" s="221"/>
      <c r="Z10" s="223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5"/>
    </row>
    <row r="11" spans="2:46" ht="15" thickBot="1">
      <c r="B11" s="237" t="s">
        <v>374</v>
      </c>
      <c r="C11" s="238">
        <v>5</v>
      </c>
      <c r="D11" s="239">
        <v>5</v>
      </c>
      <c r="E11" s="240">
        <v>10</v>
      </c>
      <c r="F11" s="241">
        <v>20</v>
      </c>
      <c r="G11" s="242">
        <v>40</v>
      </c>
      <c r="H11" s="243">
        <v>80</v>
      </c>
      <c r="J11" s="222"/>
      <c r="X11" s="221"/>
      <c r="Z11" s="223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5"/>
    </row>
    <row r="12" spans="2:46" ht="15" thickBot="1">
      <c r="J12" s="222"/>
      <c r="X12" s="221"/>
      <c r="Z12" s="223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5"/>
    </row>
    <row r="13" spans="2:46">
      <c r="B13" s="244" t="s">
        <v>375</v>
      </c>
      <c r="C13" s="245" t="s">
        <v>376</v>
      </c>
      <c r="D13" s="246" t="s">
        <v>377</v>
      </c>
      <c r="E13" s="247" t="s">
        <v>378</v>
      </c>
      <c r="F13" s="248" t="s">
        <v>379</v>
      </c>
      <c r="G13" s="249" t="s">
        <v>380</v>
      </c>
      <c r="J13" s="222"/>
      <c r="X13" s="221"/>
      <c r="Z13" s="223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5"/>
    </row>
    <row r="14" spans="2:46" ht="15" thickBot="1">
      <c r="B14" s="237" t="s">
        <v>381</v>
      </c>
      <c r="C14" s="238"/>
      <c r="D14" s="250" t="s">
        <v>382</v>
      </c>
      <c r="E14" s="250" t="s">
        <v>383</v>
      </c>
      <c r="F14" s="250" t="s">
        <v>384</v>
      </c>
      <c r="G14" s="251" t="s">
        <v>385</v>
      </c>
      <c r="J14" s="222"/>
      <c r="X14" s="221"/>
      <c r="Z14" s="223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5"/>
    </row>
    <row r="15" spans="2:46">
      <c r="J15" s="222"/>
      <c r="X15" s="221"/>
      <c r="Z15" s="223"/>
      <c r="AA15" s="224"/>
      <c r="AB15" s="224"/>
      <c r="AC15" s="224"/>
      <c r="AD15" s="252"/>
      <c r="AE15" s="252"/>
      <c r="AF15" s="252"/>
      <c r="AG15" s="252"/>
      <c r="AH15" s="252"/>
      <c r="AI15" s="252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5"/>
    </row>
    <row r="16" spans="2:46">
      <c r="J16" s="222"/>
      <c r="X16" s="221"/>
      <c r="Z16" s="223"/>
      <c r="AA16" s="224"/>
      <c r="AB16" s="224"/>
      <c r="AC16" s="224"/>
      <c r="AD16" s="252"/>
      <c r="AE16" s="252"/>
      <c r="AF16" s="252"/>
      <c r="AG16" s="252"/>
      <c r="AH16" s="252"/>
      <c r="AI16" s="252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5"/>
    </row>
    <row r="17" spans="10:46">
      <c r="J17" s="222"/>
      <c r="X17" s="221"/>
      <c r="Z17" s="223"/>
      <c r="AA17" s="224"/>
      <c r="AB17" s="224"/>
      <c r="AC17" s="224"/>
      <c r="AD17" s="252"/>
      <c r="AE17" s="252"/>
      <c r="AF17" s="252"/>
      <c r="AG17" s="252"/>
      <c r="AH17" s="252"/>
      <c r="AI17" s="252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5"/>
    </row>
    <row r="18" spans="10:46">
      <c r="J18" s="222"/>
      <c r="X18" s="221"/>
      <c r="Z18" s="223"/>
      <c r="AA18" s="224"/>
      <c r="AB18" s="224"/>
      <c r="AC18" s="224"/>
      <c r="AD18" s="252"/>
      <c r="AE18" s="252"/>
      <c r="AF18" s="252"/>
      <c r="AG18" s="252"/>
      <c r="AH18" s="252"/>
      <c r="AI18" s="252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5"/>
    </row>
    <row r="19" spans="10:46">
      <c r="J19" s="222"/>
      <c r="X19" s="221"/>
      <c r="Z19" s="223"/>
      <c r="AA19" s="224"/>
      <c r="AB19" s="224"/>
      <c r="AC19" s="224"/>
      <c r="AD19" s="252"/>
      <c r="AE19" s="252"/>
      <c r="AF19" s="252"/>
      <c r="AG19" s="252"/>
      <c r="AH19" s="252"/>
      <c r="AI19" s="252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5"/>
    </row>
    <row r="20" spans="10:46">
      <c r="J20" s="222"/>
      <c r="X20" s="221"/>
      <c r="Z20" s="223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5"/>
    </row>
    <row r="21" spans="10:46">
      <c r="J21" s="222"/>
      <c r="X21" s="221"/>
      <c r="Z21" s="223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5"/>
    </row>
    <row r="22" spans="10:46">
      <c r="J22" s="222"/>
      <c r="X22" s="221"/>
      <c r="Z22" s="223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5"/>
    </row>
    <row r="23" spans="10:46">
      <c r="J23" s="222"/>
      <c r="X23" s="221"/>
      <c r="Z23" s="223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5"/>
    </row>
    <row r="24" spans="10:46">
      <c r="J24" s="222"/>
      <c r="X24" s="221"/>
      <c r="Z24" s="223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5"/>
    </row>
    <row r="25" spans="10:46">
      <c r="J25" s="222"/>
      <c r="X25" s="221"/>
      <c r="Z25" s="223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5"/>
    </row>
    <row r="26" spans="10:46">
      <c r="J26" s="222"/>
      <c r="X26" s="221"/>
      <c r="Z26" s="223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5"/>
    </row>
    <row r="27" spans="10:46">
      <c r="J27" s="222"/>
      <c r="X27" s="221"/>
      <c r="Z27" s="223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5"/>
    </row>
    <row r="28" spans="10:46">
      <c r="J28" s="222"/>
      <c r="X28" s="221"/>
      <c r="Z28" s="223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5"/>
    </row>
    <row r="29" spans="10:46">
      <c r="J29" s="222"/>
      <c r="X29" s="221"/>
      <c r="Z29" s="223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5"/>
    </row>
    <row r="30" spans="10:46">
      <c r="J30" s="222"/>
      <c r="X30" s="221"/>
      <c r="Z30" s="223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5"/>
    </row>
    <row r="31" spans="10:46">
      <c r="J31" s="222"/>
      <c r="X31" s="221"/>
      <c r="Z31" s="223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5"/>
    </row>
    <row r="32" spans="10:46">
      <c r="J32" s="222"/>
      <c r="X32" s="221"/>
      <c r="Z32" s="223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5"/>
    </row>
    <row r="33" spans="10:46">
      <c r="J33" s="222"/>
      <c r="X33" s="221"/>
      <c r="Z33" s="223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5"/>
    </row>
    <row r="34" spans="10:46">
      <c r="J34" s="222"/>
      <c r="X34" s="221"/>
      <c r="Z34" s="223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5"/>
    </row>
    <row r="35" spans="10:46">
      <c r="J35" s="222"/>
      <c r="X35" s="221"/>
      <c r="Z35" s="223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5"/>
    </row>
    <row r="36" spans="10:46">
      <c r="J36" s="222"/>
      <c r="X36" s="221"/>
      <c r="Z36" s="223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5"/>
    </row>
    <row r="37" spans="10:46">
      <c r="J37" s="222"/>
      <c r="X37" s="221"/>
      <c r="Z37" s="223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5"/>
    </row>
    <row r="38" spans="10:46">
      <c r="J38" s="222"/>
      <c r="X38" s="221"/>
      <c r="Z38" s="223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5"/>
    </row>
    <row r="39" spans="10:46">
      <c r="J39" s="222"/>
      <c r="X39" s="221"/>
      <c r="Z39" s="223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224"/>
      <c r="AR39" s="224"/>
      <c r="AS39" s="224"/>
      <c r="AT39" s="225"/>
    </row>
    <row r="40" spans="10:46">
      <c r="J40" s="222"/>
      <c r="X40" s="221"/>
      <c r="Z40" s="223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5"/>
    </row>
    <row r="41" spans="10:46">
      <c r="J41" s="222"/>
      <c r="X41" s="221"/>
      <c r="Z41" s="223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5"/>
    </row>
    <row r="42" spans="10:46">
      <c r="J42" s="222"/>
      <c r="X42" s="221"/>
      <c r="Z42" s="223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5"/>
    </row>
    <row r="43" spans="10:46">
      <c r="J43" s="222"/>
      <c r="X43" s="221"/>
      <c r="Z43" s="223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5"/>
    </row>
    <row r="44" spans="10:46">
      <c r="J44" s="222"/>
      <c r="X44" s="221"/>
      <c r="Z44" s="223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5"/>
    </row>
    <row r="45" spans="10:46">
      <c r="J45" s="222"/>
      <c r="X45" s="221"/>
      <c r="Z45" s="223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5"/>
    </row>
    <row r="46" spans="10:46">
      <c r="J46" s="222"/>
      <c r="X46" s="221"/>
      <c r="Z46" s="223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225"/>
    </row>
    <row r="47" spans="10:46">
      <c r="J47" s="222"/>
      <c r="X47" s="221"/>
      <c r="Z47" s="223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  <c r="AO47" s="224"/>
      <c r="AP47" s="224"/>
      <c r="AQ47" s="224"/>
      <c r="AR47" s="224"/>
      <c r="AS47" s="224"/>
      <c r="AT47" s="225"/>
    </row>
    <row r="48" spans="10:46">
      <c r="J48" s="222"/>
      <c r="X48" s="221"/>
      <c r="Z48" s="223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5"/>
    </row>
    <row r="49" spans="10:46">
      <c r="J49" s="222"/>
      <c r="X49" s="221"/>
      <c r="Z49" s="223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5"/>
    </row>
    <row r="50" spans="10:46">
      <c r="J50" s="222"/>
      <c r="X50" s="221"/>
      <c r="Z50" s="223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5"/>
    </row>
    <row r="51" spans="10:46">
      <c r="J51" s="222"/>
      <c r="X51" s="221"/>
      <c r="Z51" s="223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4"/>
      <c r="AO51" s="224"/>
      <c r="AP51" s="224"/>
      <c r="AQ51" s="224"/>
      <c r="AR51" s="224"/>
      <c r="AS51" s="224"/>
      <c r="AT51" s="225"/>
    </row>
    <row r="52" spans="10:46">
      <c r="J52" s="222"/>
      <c r="X52" s="221"/>
      <c r="Z52" s="223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  <c r="AO52" s="224"/>
      <c r="AP52" s="224"/>
      <c r="AQ52" s="224"/>
      <c r="AR52" s="224"/>
      <c r="AS52" s="224"/>
      <c r="AT52" s="225"/>
    </row>
    <row r="53" spans="10:46">
      <c r="J53" s="222"/>
      <c r="X53" s="221"/>
      <c r="Z53" s="223"/>
      <c r="AA53" s="224"/>
      <c r="AB53" s="224"/>
      <c r="AC53" s="224"/>
      <c r="AD53" s="224"/>
      <c r="AE53" s="224"/>
      <c r="AF53" s="224"/>
      <c r="AG53" s="224"/>
      <c r="AH53" s="224"/>
      <c r="AI53" s="224"/>
      <c r="AJ53" s="224"/>
      <c r="AK53" s="224"/>
      <c r="AL53" s="224"/>
      <c r="AM53" s="224"/>
      <c r="AN53" s="224"/>
      <c r="AO53" s="224"/>
      <c r="AP53" s="224"/>
      <c r="AQ53" s="224"/>
      <c r="AR53" s="224"/>
      <c r="AS53" s="224"/>
      <c r="AT53" s="225"/>
    </row>
    <row r="54" spans="10:46">
      <c r="J54" s="222"/>
      <c r="X54" s="221"/>
      <c r="Z54" s="226"/>
      <c r="AT54" s="253"/>
    </row>
    <row r="55" spans="10:46">
      <c r="J55" s="222"/>
      <c r="X55" s="221"/>
      <c r="Z55" s="223"/>
      <c r="AA55" s="224"/>
      <c r="AB55" s="224"/>
      <c r="AC55" s="224"/>
      <c r="AD55" s="224"/>
      <c r="AE55" s="224"/>
      <c r="AF55" s="224"/>
      <c r="AG55" s="224"/>
      <c r="AH55" s="224"/>
      <c r="AI55" s="224"/>
      <c r="AJ55" s="224"/>
      <c r="AK55" s="224"/>
      <c r="AL55" s="224"/>
      <c r="AM55" s="224"/>
      <c r="AN55" s="224"/>
      <c r="AO55" s="224"/>
      <c r="AP55" s="224"/>
      <c r="AQ55" s="224"/>
      <c r="AR55" s="224"/>
      <c r="AS55" s="224"/>
      <c r="AT55" s="225"/>
    </row>
    <row r="56" spans="10:46">
      <c r="J56" s="222"/>
      <c r="X56" s="221"/>
      <c r="Z56" s="223"/>
      <c r="AA56" s="224"/>
      <c r="AB56" s="224"/>
      <c r="AC56" s="224"/>
      <c r="AD56" s="224"/>
      <c r="AE56" s="224"/>
      <c r="AF56" s="224"/>
      <c r="AG56" s="224"/>
      <c r="AH56" s="224"/>
      <c r="AI56" s="224"/>
      <c r="AJ56" s="224"/>
      <c r="AK56" s="224"/>
      <c r="AL56" s="224"/>
      <c r="AM56" s="224"/>
      <c r="AN56" s="224"/>
      <c r="AO56" s="224"/>
      <c r="AP56" s="224"/>
      <c r="AQ56" s="224"/>
      <c r="AR56" s="224"/>
      <c r="AS56" s="224"/>
      <c r="AT56" s="225"/>
    </row>
    <row r="57" spans="10:46">
      <c r="J57" s="222"/>
      <c r="X57" s="221"/>
      <c r="Z57" s="223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24"/>
      <c r="AL57" s="224"/>
      <c r="AM57" s="224"/>
      <c r="AN57" s="224"/>
      <c r="AO57" s="224"/>
      <c r="AP57" s="224"/>
      <c r="AQ57" s="224"/>
      <c r="AR57" s="224"/>
      <c r="AS57" s="224"/>
      <c r="AT57" s="225"/>
    </row>
    <row r="58" spans="10:46" ht="15" thickBot="1">
      <c r="J58" s="254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6"/>
      <c r="Z58" s="257"/>
      <c r="AA58" s="258"/>
      <c r="AB58" s="258"/>
      <c r="AC58" s="258"/>
      <c r="AD58" s="258"/>
      <c r="AE58" s="258"/>
      <c r="AF58" s="258"/>
      <c r="AG58" s="258"/>
      <c r="AH58" s="258"/>
      <c r="AI58" s="258"/>
      <c r="AJ58" s="258"/>
      <c r="AK58" s="258"/>
      <c r="AL58" s="258"/>
      <c r="AM58" s="258"/>
      <c r="AN58" s="258"/>
      <c r="AO58" s="258"/>
      <c r="AP58" s="258"/>
      <c r="AQ58" s="258"/>
      <c r="AR58" s="258"/>
      <c r="AS58" s="258"/>
      <c r="AT58" s="259"/>
    </row>
    <row r="59" spans="10:46"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4"/>
      <c r="AK59" s="224"/>
      <c r="AL59" s="224"/>
      <c r="AM59" s="224"/>
      <c r="AN59" s="224"/>
      <c r="AO59" s="224"/>
      <c r="AP59" s="224"/>
      <c r="AQ59" s="224"/>
      <c r="AR59" s="224"/>
      <c r="AS59" s="224"/>
      <c r="AT59" s="224"/>
    </row>
    <row r="60" spans="10:46"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24"/>
      <c r="AS60" s="224"/>
      <c r="AT60" s="224"/>
    </row>
    <row r="61" spans="10:46"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  <c r="AO61" s="224"/>
      <c r="AP61" s="224"/>
      <c r="AQ61" s="224"/>
      <c r="AR61" s="224"/>
      <c r="AS61" s="224"/>
      <c r="AT61" s="224"/>
    </row>
  </sheetData>
  <mergeCells count="5">
    <mergeCell ref="B2:H2"/>
    <mergeCell ref="J3:X4"/>
    <mergeCell ref="Z3:AT4"/>
    <mergeCell ref="B4:C6"/>
    <mergeCell ref="D4:H4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4"/>
  <sheetViews>
    <sheetView zoomScaleNormal="100" workbookViewId="0">
      <pane xSplit="4" ySplit="4" topLeftCell="E5" activePane="bottomRight" state="frozen"/>
      <selection activeCell="P77" sqref="P77"/>
      <selection pane="topRight" activeCell="P77" sqref="P77"/>
      <selection pane="bottomLeft" activeCell="P77" sqref="P77"/>
      <selection pane="bottomRight" activeCell="F17" sqref="F17"/>
    </sheetView>
  </sheetViews>
  <sheetFormatPr baseColWidth="10" defaultColWidth="11.44140625" defaultRowHeight="15.6"/>
  <cols>
    <col min="1" max="1" width="20.6640625" style="263" customWidth="1"/>
    <col min="2" max="2" width="11.44140625" style="289" customWidth="1"/>
    <col min="3" max="3" width="14.109375" style="263" customWidth="1"/>
    <col min="4" max="4" width="39.6640625" style="290" customWidth="1"/>
    <col min="5" max="5" width="17.5546875" style="263" customWidth="1"/>
    <col min="6" max="6" width="27" style="263" customWidth="1"/>
    <col min="7" max="7" width="38" style="263" hidden="1" customWidth="1"/>
    <col min="8" max="8" width="29.44140625" style="263" hidden="1" customWidth="1"/>
    <col min="9" max="9" width="11.44140625" style="263" customWidth="1"/>
    <col min="10" max="11" width="11.44140625" style="263"/>
    <col min="12" max="12" width="8.5546875" style="263" customWidth="1"/>
    <col min="13" max="15" width="11.44140625" style="263"/>
    <col min="16" max="16" width="11.88671875" style="263" bestFit="1" customWidth="1"/>
    <col min="17" max="17" width="15.6640625" style="263" bestFit="1" customWidth="1"/>
    <col min="18" max="16384" width="11.44140625" style="263"/>
  </cols>
  <sheetData>
    <row r="2" spans="1:17">
      <c r="A2" s="463" t="s">
        <v>386</v>
      </c>
      <c r="B2" s="260" t="s">
        <v>387</v>
      </c>
      <c r="C2" s="261"/>
      <c r="D2" s="261"/>
      <c r="E2" s="464" t="s">
        <v>388</v>
      </c>
      <c r="F2" s="464" t="s">
        <v>389</v>
      </c>
      <c r="G2" s="463" t="s">
        <v>390</v>
      </c>
      <c r="H2" s="463"/>
      <c r="I2" s="463" t="s">
        <v>391</v>
      </c>
      <c r="J2" s="463"/>
      <c r="K2" s="463"/>
      <c r="L2" s="463"/>
      <c r="M2" s="463" t="s">
        <v>392</v>
      </c>
      <c r="N2" s="463"/>
      <c r="O2" s="463"/>
      <c r="P2" s="262"/>
      <c r="Q2" s="262"/>
    </row>
    <row r="3" spans="1:17" ht="46.8">
      <c r="A3" s="463"/>
      <c r="B3" s="264" t="s">
        <v>393</v>
      </c>
      <c r="C3" s="261" t="s">
        <v>394</v>
      </c>
      <c r="D3" s="265" t="s">
        <v>19</v>
      </c>
      <c r="E3" s="464"/>
      <c r="F3" s="464"/>
      <c r="G3" s="266" t="s">
        <v>395</v>
      </c>
      <c r="H3" s="266" t="s">
        <v>396</v>
      </c>
      <c r="I3" s="265" t="s">
        <v>397</v>
      </c>
      <c r="J3" s="265" t="s">
        <v>398</v>
      </c>
      <c r="K3" s="265" t="s">
        <v>399</v>
      </c>
      <c r="L3" s="265" t="s">
        <v>400</v>
      </c>
      <c r="M3" s="265" t="s">
        <v>401</v>
      </c>
      <c r="N3" s="265" t="s">
        <v>402</v>
      </c>
      <c r="O3" s="265" t="s">
        <v>403</v>
      </c>
      <c r="P3" s="266" t="s">
        <v>404</v>
      </c>
      <c r="Q3" s="266" t="s">
        <v>405</v>
      </c>
    </row>
    <row r="4" spans="1:17">
      <c r="A4" s="267" t="s">
        <v>406</v>
      </c>
      <c r="B4" s="268"/>
      <c r="C4" s="269"/>
      <c r="D4" s="270"/>
      <c r="E4" s="271"/>
      <c r="F4" s="270"/>
      <c r="G4" s="270"/>
      <c r="H4" s="270"/>
      <c r="I4" s="262"/>
      <c r="J4" s="262"/>
      <c r="K4" s="262"/>
      <c r="L4" s="262"/>
      <c r="M4" s="262"/>
      <c r="N4" s="262"/>
      <c r="O4" s="262"/>
      <c r="P4" s="262"/>
      <c r="Q4" s="262"/>
    </row>
    <row r="5" spans="1:17" ht="109.2">
      <c r="A5" s="272" t="s">
        <v>229</v>
      </c>
      <c r="B5" s="272" t="s">
        <v>407</v>
      </c>
      <c r="C5" s="273" t="s">
        <v>408</v>
      </c>
      <c r="D5" s="274" t="s">
        <v>409</v>
      </c>
      <c r="E5" s="275" t="s">
        <v>410</v>
      </c>
      <c r="F5" s="276" t="s">
        <v>411</v>
      </c>
      <c r="G5" s="277" t="s">
        <v>412</v>
      </c>
      <c r="H5" s="277" t="s">
        <v>413</v>
      </c>
      <c r="I5" s="262">
        <v>5</v>
      </c>
      <c r="J5" s="262">
        <v>2</v>
      </c>
      <c r="K5" s="262">
        <v>1</v>
      </c>
      <c r="L5" s="278">
        <f>+PRODUCT(I5:K5)^(1/3)</f>
        <v>2.1544346900318838</v>
      </c>
      <c r="M5" s="262">
        <v>4</v>
      </c>
      <c r="N5" s="262">
        <v>3</v>
      </c>
      <c r="O5" s="278">
        <f>+M5*N5/3</f>
        <v>4</v>
      </c>
      <c r="P5" s="278">
        <f>+O5*L5</f>
        <v>8.6177387601275353</v>
      </c>
      <c r="Q5" s="278" t="str">
        <f>+IF(P5&lt;=6,"Riesgo bajo",IF(P5&lt;=12,"Riesgo medio",IF(P5&lt;=32,"Riesgo alto","Riesgo muy alto")))</f>
        <v>Riesgo medio</v>
      </c>
    </row>
    <row r="6" spans="1:17" ht="62.4">
      <c r="A6" s="272" t="s">
        <v>230</v>
      </c>
      <c r="B6" s="272" t="s">
        <v>414</v>
      </c>
      <c r="C6" s="273" t="s">
        <v>415</v>
      </c>
      <c r="D6" s="274" t="s">
        <v>416</v>
      </c>
      <c r="E6" s="275" t="s">
        <v>410</v>
      </c>
      <c r="F6" s="276" t="s">
        <v>411</v>
      </c>
      <c r="G6" s="279"/>
      <c r="H6" s="280"/>
      <c r="I6" s="262">
        <v>2</v>
      </c>
      <c r="J6" s="262">
        <v>1</v>
      </c>
      <c r="K6" s="262">
        <v>2</v>
      </c>
      <c r="L6" s="278">
        <f t="shared" ref="L6:L11" si="0">+PRODUCT(I6:K6)^(1/3)</f>
        <v>1.5874010519681994</v>
      </c>
      <c r="M6" s="262">
        <v>4</v>
      </c>
      <c r="N6" s="262">
        <v>3</v>
      </c>
      <c r="O6" s="278">
        <f t="shared" ref="O6:O11" si="1">+M6*N6/3</f>
        <v>4</v>
      </c>
      <c r="P6" s="278">
        <f t="shared" ref="P6:P14" si="2">+O6*L6</f>
        <v>6.3496042078727974</v>
      </c>
      <c r="Q6" s="278" t="str">
        <f t="shared" ref="Q6:Q14" si="3">+IF(P6&lt;=6,"Riesgo bajo",IF(P6&lt;=12,"Riesgo medio",IF(P6&lt;=32,"Riesgo alto","Riesgo muy alto")))</f>
        <v>Riesgo medio</v>
      </c>
    </row>
    <row r="7" spans="1:17" ht="31.2">
      <c r="A7" s="281" t="s">
        <v>267</v>
      </c>
      <c r="B7" s="281" t="s">
        <v>418</v>
      </c>
      <c r="C7" s="282" t="s">
        <v>419</v>
      </c>
      <c r="D7" s="283" t="s">
        <v>420</v>
      </c>
      <c r="E7" s="275" t="s">
        <v>417</v>
      </c>
      <c r="F7" s="276" t="s">
        <v>411</v>
      </c>
      <c r="G7" s="279"/>
      <c r="H7" s="280"/>
      <c r="I7" s="262">
        <v>2</v>
      </c>
      <c r="J7" s="262">
        <v>3</v>
      </c>
      <c r="K7" s="262">
        <v>3</v>
      </c>
      <c r="L7" s="278">
        <f t="shared" si="0"/>
        <v>2.6207413942088964</v>
      </c>
      <c r="M7" s="262">
        <v>4</v>
      </c>
      <c r="N7" s="262">
        <v>3</v>
      </c>
      <c r="O7" s="278">
        <f t="shared" si="1"/>
        <v>4</v>
      </c>
      <c r="P7" s="278">
        <f t="shared" si="2"/>
        <v>10.482965576835586</v>
      </c>
      <c r="Q7" s="278" t="str">
        <f t="shared" si="3"/>
        <v>Riesgo medio</v>
      </c>
    </row>
    <row r="8" spans="1:17" ht="31.2">
      <c r="A8" s="281" t="s">
        <v>231</v>
      </c>
      <c r="B8" s="286" t="s">
        <v>423</v>
      </c>
      <c r="C8" s="285" t="s">
        <v>422</v>
      </c>
      <c r="D8" s="283" t="s">
        <v>424</v>
      </c>
      <c r="E8" s="275" t="s">
        <v>410</v>
      </c>
      <c r="F8" s="276" t="s">
        <v>425</v>
      </c>
      <c r="G8" s="287"/>
      <c r="H8" s="287"/>
      <c r="I8" s="262">
        <v>2</v>
      </c>
      <c r="J8" s="262">
        <v>1</v>
      </c>
      <c r="K8" s="262">
        <v>1</v>
      </c>
      <c r="L8" s="278">
        <f t="shared" si="0"/>
        <v>1.2599210498948732</v>
      </c>
      <c r="M8" s="262">
        <v>2</v>
      </c>
      <c r="N8" s="262">
        <v>1</v>
      </c>
      <c r="O8" s="278">
        <f t="shared" si="1"/>
        <v>0.66666666666666663</v>
      </c>
      <c r="P8" s="278">
        <f t="shared" si="2"/>
        <v>0.83994736659658209</v>
      </c>
      <c r="Q8" s="278" t="str">
        <f t="shared" si="3"/>
        <v>Riesgo bajo</v>
      </c>
    </row>
    <row r="9" spans="1:17" ht="46.8">
      <c r="A9" s="281" t="s">
        <v>233</v>
      </c>
      <c r="B9" s="286" t="s">
        <v>426</v>
      </c>
      <c r="C9" s="285" t="s">
        <v>421</v>
      </c>
      <c r="D9" s="283" t="s">
        <v>427</v>
      </c>
      <c r="E9" s="275" t="s">
        <v>417</v>
      </c>
      <c r="F9" s="276" t="s">
        <v>411</v>
      </c>
      <c r="G9" s="287"/>
      <c r="H9" s="287"/>
      <c r="I9" s="262">
        <v>3</v>
      </c>
      <c r="J9" s="262">
        <v>2</v>
      </c>
      <c r="K9" s="262">
        <v>3</v>
      </c>
      <c r="L9" s="278">
        <f t="shared" si="0"/>
        <v>2.6207413942088964</v>
      </c>
      <c r="M9" s="262">
        <v>4</v>
      </c>
      <c r="N9" s="262">
        <v>3</v>
      </c>
      <c r="O9" s="278">
        <f t="shared" si="1"/>
        <v>4</v>
      </c>
      <c r="P9" s="278">
        <f t="shared" si="2"/>
        <v>10.482965576835586</v>
      </c>
      <c r="Q9" s="278" t="str">
        <f t="shared" si="3"/>
        <v>Riesgo medio</v>
      </c>
    </row>
    <row r="10" spans="1:17">
      <c r="A10" s="281"/>
      <c r="B10" s="286"/>
      <c r="C10" s="285"/>
      <c r="D10" s="283"/>
      <c r="E10" s="275"/>
      <c r="F10" s="276"/>
      <c r="G10" s="287"/>
      <c r="H10" s="287"/>
      <c r="I10" s="262"/>
      <c r="J10" s="262"/>
      <c r="K10" s="262"/>
      <c r="L10" s="278">
        <f t="shared" si="0"/>
        <v>0</v>
      </c>
      <c r="M10" s="262"/>
      <c r="N10" s="262"/>
      <c r="O10" s="278">
        <f t="shared" si="1"/>
        <v>0</v>
      </c>
      <c r="P10" s="278">
        <f t="shared" si="2"/>
        <v>0</v>
      </c>
      <c r="Q10" s="278" t="str">
        <f t="shared" si="3"/>
        <v>Riesgo bajo</v>
      </c>
    </row>
    <row r="11" spans="1:17">
      <c r="A11" s="281"/>
      <c r="B11" s="286"/>
      <c r="C11" s="285"/>
      <c r="D11" s="283"/>
      <c r="E11" s="275"/>
      <c r="F11" s="276"/>
      <c r="G11" s="287"/>
      <c r="H11" s="287"/>
      <c r="I11" s="262"/>
      <c r="J11" s="262"/>
      <c r="K11" s="262"/>
      <c r="L11" s="278">
        <f t="shared" si="0"/>
        <v>0</v>
      </c>
      <c r="M11" s="262"/>
      <c r="N11" s="262"/>
      <c r="O11" s="278">
        <f t="shared" si="1"/>
        <v>0</v>
      </c>
      <c r="P11" s="278">
        <f t="shared" si="2"/>
        <v>0</v>
      </c>
      <c r="Q11" s="278" t="str">
        <f t="shared" si="3"/>
        <v>Riesgo bajo</v>
      </c>
    </row>
    <row r="12" spans="1:17">
      <c r="A12" s="281"/>
      <c r="B12" s="286"/>
      <c r="C12" s="285"/>
      <c r="D12" s="283"/>
      <c r="E12" s="275"/>
      <c r="F12" s="276"/>
      <c r="G12" s="287"/>
      <c r="H12" s="287"/>
      <c r="I12" s="284"/>
      <c r="J12" s="284"/>
      <c r="K12" s="284"/>
      <c r="L12" s="288">
        <f>+PRODUCT(I12:K12)^(1/3)</f>
        <v>0</v>
      </c>
      <c r="M12" s="284"/>
      <c r="N12" s="284"/>
      <c r="O12" s="288">
        <f>+M12*N12/3</f>
        <v>0</v>
      </c>
      <c r="P12" s="278">
        <f t="shared" si="2"/>
        <v>0</v>
      </c>
      <c r="Q12" s="278" t="str">
        <f t="shared" si="3"/>
        <v>Riesgo bajo</v>
      </c>
    </row>
    <row r="13" spans="1:17">
      <c r="A13" s="281"/>
      <c r="B13" s="286"/>
      <c r="C13" s="285"/>
      <c r="D13" s="283"/>
      <c r="E13" s="275"/>
      <c r="F13" s="276"/>
      <c r="G13" s="287"/>
      <c r="H13" s="287"/>
      <c r="I13" s="284"/>
      <c r="J13" s="284"/>
      <c r="K13" s="284"/>
      <c r="L13" s="288">
        <f t="shared" ref="L13:L14" si="4">+PRODUCT(I13:K13)^(1/3)</f>
        <v>0</v>
      </c>
      <c r="M13" s="284"/>
      <c r="N13" s="284"/>
      <c r="O13" s="288">
        <f t="shared" ref="O13:O14" si="5">+M13*N13/3</f>
        <v>0</v>
      </c>
      <c r="P13" s="278">
        <f t="shared" si="2"/>
        <v>0</v>
      </c>
      <c r="Q13" s="278" t="str">
        <f t="shared" si="3"/>
        <v>Riesgo bajo</v>
      </c>
    </row>
    <row r="14" spans="1:17">
      <c r="A14" s="281"/>
      <c r="B14" s="286"/>
      <c r="C14" s="282"/>
      <c r="D14" s="283"/>
      <c r="E14" s="275"/>
      <c r="F14" s="276"/>
      <c r="G14" s="287"/>
      <c r="H14" s="287"/>
      <c r="I14" s="284"/>
      <c r="J14" s="284"/>
      <c r="K14" s="284"/>
      <c r="L14" s="288">
        <f t="shared" si="4"/>
        <v>0</v>
      </c>
      <c r="M14" s="284"/>
      <c r="N14" s="284"/>
      <c r="O14" s="288">
        <f t="shared" si="5"/>
        <v>0</v>
      </c>
      <c r="P14" s="278">
        <f t="shared" si="2"/>
        <v>0</v>
      </c>
      <c r="Q14" s="278" t="str">
        <f t="shared" si="3"/>
        <v>Riesgo bajo</v>
      </c>
    </row>
  </sheetData>
  <mergeCells count="6">
    <mergeCell ref="M2:O2"/>
    <mergeCell ref="A2:A3"/>
    <mergeCell ref="E2:E3"/>
    <mergeCell ref="F2:F3"/>
    <mergeCell ref="G2:H2"/>
    <mergeCell ref="I2:L2"/>
  </mergeCells>
  <conditionalFormatting sqref="P5:P14">
    <cfRule type="cellIs" dxfId="46" priority="5" stopIfTrue="1" operator="greaterThan">
      <formula>32</formula>
    </cfRule>
    <cfRule type="cellIs" dxfId="45" priority="6" stopIfTrue="1" operator="between">
      <formula>12</formula>
      <formula>31.99</formula>
    </cfRule>
    <cfRule type="cellIs" dxfId="44" priority="7" stopIfTrue="1" operator="between">
      <formula>6</formula>
      <formula>11.99</formula>
    </cfRule>
    <cfRule type="cellIs" dxfId="43" priority="8" stopIfTrue="1" operator="lessThanOrEqual">
      <formula>6</formula>
    </cfRule>
  </conditionalFormatting>
  <conditionalFormatting sqref="Q5:Q14">
    <cfRule type="expression" dxfId="42" priority="1" stopIfTrue="1">
      <formula>$P5&gt;32</formula>
    </cfRule>
    <cfRule type="expression" dxfId="41" priority="2" stopIfTrue="1">
      <formula>AND($P5&gt;12,$P5&lt;=32)</formula>
    </cfRule>
    <cfRule type="expression" dxfId="40" priority="3" stopIfTrue="1">
      <formula>AND($P5&gt;6,$P5&lt;=12)</formula>
    </cfRule>
    <cfRule type="expression" dxfId="39" priority="4" stopIfTrue="1">
      <formula>$P5&lt;=6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'\\madricpd2fs00\datos\Proyectos\3055320-DIGITALIZACION SGPAGR\02_DIGITALIZACIÓN DE LA INFORMACIÓN DE VERTIDOS\PGRAR USO URBANO CYGSA SEVILLA\ÚLTIMAS NOVEDADES DIC2024\[Datos_PGRAR EMASESA_v4.xlsx]Aux'!#REF!</xm:f>
          </x14:formula1>
          <xm:sqref>A5:A14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85" zoomScaleNormal="85" workbookViewId="0">
      <selection activeCell="F28" sqref="F28"/>
    </sheetView>
  </sheetViews>
  <sheetFormatPr baseColWidth="10" defaultColWidth="11.44140625" defaultRowHeight="13.8"/>
  <cols>
    <col min="1" max="1" width="18.109375" style="3" customWidth="1"/>
    <col min="2" max="2" width="25.88671875" style="3" customWidth="1"/>
    <col min="3" max="3" width="22.6640625" style="3" customWidth="1"/>
    <col min="4" max="4" width="20.109375" style="3" customWidth="1"/>
    <col min="5" max="5" width="16.6640625" style="3" customWidth="1"/>
    <col min="6" max="8" width="18.109375" style="3" customWidth="1"/>
    <col min="9" max="9" width="32" style="3" customWidth="1"/>
    <col min="10" max="10" width="12" style="3" customWidth="1"/>
    <col min="11" max="11" width="18.109375" style="3" customWidth="1"/>
    <col min="12" max="16384" width="11.44140625" style="3"/>
  </cols>
  <sheetData>
    <row r="1" spans="1:11">
      <c r="A1" s="2" t="s">
        <v>37</v>
      </c>
      <c r="B1" s="118"/>
      <c r="C1" s="118"/>
      <c r="D1" s="118"/>
      <c r="E1" s="118"/>
      <c r="F1" s="118"/>
      <c r="G1" s="118"/>
      <c r="H1" s="118"/>
      <c r="I1" s="118"/>
      <c r="J1" s="118"/>
    </row>
    <row r="3" spans="1:11" s="26" customFormat="1">
      <c r="A3" s="34" t="s">
        <v>34</v>
      </c>
      <c r="K3" s="3"/>
    </row>
    <row r="4" spans="1:11" ht="38.25" customHeight="1">
      <c r="A4" s="173" t="s">
        <v>220</v>
      </c>
      <c r="B4" s="173" t="s">
        <v>25</v>
      </c>
      <c r="C4" s="466" t="s">
        <v>259</v>
      </c>
      <c r="D4" s="467"/>
      <c r="E4" s="465" t="s">
        <v>22</v>
      </c>
      <c r="F4" s="465"/>
      <c r="G4" s="466" t="s">
        <v>129</v>
      </c>
      <c r="H4" s="467"/>
      <c r="I4" s="173" t="s">
        <v>26</v>
      </c>
      <c r="J4" s="173" t="s">
        <v>27</v>
      </c>
      <c r="K4" s="173" t="s">
        <v>45</v>
      </c>
    </row>
    <row r="5" spans="1:11" ht="55.2">
      <c r="A5" s="36" t="s">
        <v>220</v>
      </c>
      <c r="B5" s="37" t="s">
        <v>221</v>
      </c>
      <c r="C5" s="37" t="s">
        <v>168</v>
      </c>
      <c r="D5" s="37" t="s">
        <v>167</v>
      </c>
      <c r="E5" s="43" t="s">
        <v>165</v>
      </c>
      <c r="F5" s="43" t="s">
        <v>166</v>
      </c>
      <c r="G5" s="38" t="s">
        <v>104</v>
      </c>
      <c r="H5" s="39" t="s">
        <v>105</v>
      </c>
      <c r="I5" s="37" t="s">
        <v>222</v>
      </c>
      <c r="J5" s="37" t="s">
        <v>27</v>
      </c>
      <c r="K5" s="37" t="s">
        <v>72</v>
      </c>
    </row>
    <row r="6" spans="1:11">
      <c r="A6" s="7"/>
      <c r="B6" s="7"/>
      <c r="C6" s="7"/>
      <c r="D6" s="7"/>
      <c r="E6" s="7"/>
      <c r="F6" s="7"/>
      <c r="G6" s="40"/>
      <c r="H6" s="40"/>
      <c r="I6" s="7"/>
      <c r="J6" s="7"/>
      <c r="K6" s="41"/>
    </row>
    <row r="7" spans="1:11">
      <c r="A7" s="7"/>
      <c r="B7" s="7"/>
      <c r="C7" s="7"/>
      <c r="D7" s="7"/>
      <c r="E7" s="7"/>
      <c r="F7" s="7"/>
      <c r="G7" s="40"/>
      <c r="H7" s="40"/>
      <c r="I7" s="7"/>
      <c r="J7" s="7"/>
      <c r="K7" s="41"/>
    </row>
    <row r="8" spans="1:11">
      <c r="A8" s="7"/>
      <c r="B8" s="7"/>
      <c r="C8" s="7"/>
      <c r="D8" s="7"/>
      <c r="E8" s="7"/>
      <c r="F8" s="7"/>
      <c r="G8" s="40"/>
      <c r="H8" s="40"/>
      <c r="I8" s="7"/>
      <c r="J8" s="7"/>
      <c r="K8" s="41"/>
    </row>
    <row r="9" spans="1:11">
      <c r="A9" s="7"/>
      <c r="B9" s="7"/>
      <c r="C9" s="7"/>
      <c r="D9" s="7"/>
      <c r="E9" s="7"/>
      <c r="F9" s="7"/>
      <c r="G9" s="40"/>
      <c r="H9" s="40"/>
      <c r="I9" s="7"/>
      <c r="J9" s="7"/>
      <c r="K9" s="41"/>
    </row>
  </sheetData>
  <mergeCells count="3">
    <mergeCell ref="E4:F4"/>
    <mergeCell ref="G4:H4"/>
    <mergeCell ref="C4:D4"/>
  </mergeCells>
  <dataValidations count="3">
    <dataValidation type="list" allowBlank="1" showInputMessage="1" showErrorMessage="1" sqref="A6:A9">
      <formula1>denominacion_POI</formula1>
    </dataValidation>
    <dataValidation type="list" allowBlank="1" showInputMessage="1" showErrorMessage="1" sqref="E6:E9">
      <formula1>"Continuo, Una vez a la semana, Dos veces al mes (24 al año), Una vez al mes (2 al año), Una vez al trimestre (4 al año), Otro"</formula1>
    </dataValidation>
    <dataValidation type="list" allowBlank="1" showInputMessage="1" showErrorMessage="1" sqref="B6:C9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zoomScale="80" zoomScaleNormal="80" workbookViewId="0">
      <selection activeCell="D1" sqref="D1"/>
    </sheetView>
  </sheetViews>
  <sheetFormatPr baseColWidth="10" defaultColWidth="11.44140625" defaultRowHeight="15.6"/>
  <cols>
    <col min="1" max="1" width="23.88671875" style="26" customWidth="1"/>
    <col min="2" max="2" width="18.33203125" style="46" customWidth="1"/>
    <col min="3" max="3" width="44.6640625" style="26" customWidth="1"/>
    <col min="4" max="4" width="59.6640625" style="26" customWidth="1"/>
    <col min="5" max="5" width="17.5546875" style="26" customWidth="1"/>
    <col min="6" max="6" width="27" style="26" customWidth="1"/>
    <col min="7" max="7" width="38" style="26" customWidth="1"/>
    <col min="8" max="8" width="29.44140625" style="26" customWidth="1"/>
    <col min="9" max="9" width="36.6640625" style="26" customWidth="1"/>
    <col min="10" max="10" width="39" style="26" bestFit="1" customWidth="1"/>
    <col min="11" max="11" width="37.33203125" style="26" customWidth="1"/>
    <col min="12" max="12" width="25.5546875" style="26" customWidth="1"/>
    <col min="13" max="13" width="36.6640625" style="26" customWidth="1"/>
    <col min="14" max="14" width="39" style="26" bestFit="1" customWidth="1"/>
    <col min="15" max="15" width="11.44140625" style="263" customWidth="1"/>
    <col min="16" max="17" width="11.44140625" style="263"/>
    <col min="18" max="18" width="8.5546875" style="263" customWidth="1"/>
    <col min="19" max="21" width="11.44140625" style="263"/>
    <col min="22" max="22" width="11.88671875" style="263" bestFit="1" customWidth="1"/>
    <col min="23" max="23" width="15.6640625" style="263" bestFit="1" customWidth="1"/>
    <col min="24" max="16384" width="11.44140625" style="26"/>
  </cols>
  <sheetData>
    <row r="1" spans="1:23" ht="71.25" customHeight="1"/>
    <row r="2" spans="1:23" ht="32.25" customHeight="1">
      <c r="A2" s="471" t="s">
        <v>386</v>
      </c>
      <c r="B2" s="472" t="s">
        <v>435</v>
      </c>
      <c r="C2" s="473"/>
      <c r="D2" s="473"/>
      <c r="E2" s="474" t="s">
        <v>434</v>
      </c>
      <c r="F2" s="474" t="s">
        <v>389</v>
      </c>
      <c r="G2" s="475" t="s">
        <v>390</v>
      </c>
      <c r="H2" s="476"/>
      <c r="I2" s="468" t="s">
        <v>433</v>
      </c>
      <c r="J2" s="469"/>
      <c r="K2" s="469"/>
      <c r="L2" s="469"/>
      <c r="M2" s="469"/>
      <c r="N2" s="470"/>
      <c r="O2" s="463" t="s">
        <v>391</v>
      </c>
      <c r="P2" s="463"/>
      <c r="Q2" s="463"/>
      <c r="R2" s="463"/>
      <c r="S2" s="463" t="s">
        <v>392</v>
      </c>
      <c r="T2" s="463"/>
      <c r="U2" s="463"/>
      <c r="V2" s="262"/>
      <c r="W2" s="262"/>
    </row>
    <row r="3" spans="1:23" ht="41.4">
      <c r="A3" s="471"/>
      <c r="B3" s="302" t="s">
        <v>393</v>
      </c>
      <c r="C3" s="301" t="s">
        <v>394</v>
      </c>
      <c r="D3" s="300" t="s">
        <v>19</v>
      </c>
      <c r="E3" s="474"/>
      <c r="F3" s="474"/>
      <c r="G3" s="299" t="s">
        <v>395</v>
      </c>
      <c r="H3" s="299" t="s">
        <v>432</v>
      </c>
      <c r="I3" s="298" t="s">
        <v>431</v>
      </c>
      <c r="J3" s="297" t="s">
        <v>428</v>
      </c>
      <c r="K3" s="298" t="s">
        <v>430</v>
      </c>
      <c r="L3" s="297" t="s">
        <v>428</v>
      </c>
      <c r="M3" s="298" t="s">
        <v>429</v>
      </c>
      <c r="N3" s="297" t="s">
        <v>428</v>
      </c>
      <c r="O3" s="265" t="s">
        <v>397</v>
      </c>
      <c r="P3" s="265" t="s">
        <v>398</v>
      </c>
      <c r="Q3" s="265" t="s">
        <v>399</v>
      </c>
      <c r="R3" s="265" t="s">
        <v>400</v>
      </c>
      <c r="S3" s="265" t="s">
        <v>401</v>
      </c>
      <c r="T3" s="265" t="s">
        <v>402</v>
      </c>
      <c r="U3" s="265" t="s">
        <v>403</v>
      </c>
      <c r="V3" s="266" t="s">
        <v>404</v>
      </c>
      <c r="W3" s="266" t="s">
        <v>405</v>
      </c>
    </row>
    <row r="4" spans="1:23" ht="13.95" hidden="1" customHeight="1">
      <c r="A4" s="296" t="s">
        <v>406</v>
      </c>
      <c r="B4" s="295"/>
      <c r="C4" s="292"/>
      <c r="D4" s="293"/>
      <c r="E4" s="294"/>
      <c r="F4" s="293"/>
      <c r="G4" s="293"/>
      <c r="H4" s="293"/>
      <c r="I4" s="292"/>
      <c r="J4" s="292"/>
      <c r="K4" s="292"/>
      <c r="L4" s="292"/>
      <c r="M4" s="292"/>
      <c r="N4" s="292"/>
      <c r="O4" s="262"/>
      <c r="P4" s="262"/>
      <c r="Q4" s="262"/>
      <c r="R4" s="262"/>
      <c r="S4" s="262"/>
      <c r="T4" s="262"/>
      <c r="U4" s="262"/>
      <c r="V4" s="262"/>
      <c r="W4" s="262"/>
    </row>
    <row r="5" spans="1:23" s="78" customFormat="1" ht="255.75" customHeight="1">
      <c r="A5" s="272" t="s">
        <v>229</v>
      </c>
      <c r="B5" s="272" t="s">
        <v>407</v>
      </c>
      <c r="C5" s="273" t="s">
        <v>408</v>
      </c>
      <c r="D5" s="274" t="s">
        <v>409</v>
      </c>
      <c r="E5" s="275" t="s">
        <v>410</v>
      </c>
      <c r="F5" s="276" t="s">
        <v>411</v>
      </c>
      <c r="G5" s="291"/>
      <c r="H5" s="291"/>
      <c r="I5" s="291"/>
      <c r="J5" s="291"/>
      <c r="K5" s="291"/>
      <c r="L5" s="291"/>
      <c r="M5" s="291"/>
      <c r="N5" s="291"/>
      <c r="O5" s="262"/>
      <c r="P5" s="262"/>
      <c r="Q5" s="262"/>
      <c r="R5" s="278">
        <f>+PRODUCT(O5:Q5)^(1/3)</f>
        <v>0</v>
      </c>
      <c r="S5" s="262"/>
      <c r="T5" s="262"/>
      <c r="U5" s="278">
        <f>+S5*T5/3</f>
        <v>0</v>
      </c>
      <c r="V5" s="278">
        <f>+U5*R5</f>
        <v>0</v>
      </c>
      <c r="W5" s="278" t="str">
        <f>+IF(V5&lt;=6,"Riesgo bajo",IF(V5&lt;=12,"Riesgo medio",IF(V5&lt;=32,"Riesgo alto","Riesgo muy alto")))</f>
        <v>Riesgo bajo</v>
      </c>
    </row>
    <row r="6" spans="1:23" ht="243.75" customHeight="1">
      <c r="A6" s="281" t="s">
        <v>267</v>
      </c>
      <c r="B6" s="281" t="s">
        <v>418</v>
      </c>
      <c r="C6" s="282" t="s">
        <v>419</v>
      </c>
      <c r="D6" s="283" t="s">
        <v>420</v>
      </c>
      <c r="E6" s="275" t="s">
        <v>417</v>
      </c>
      <c r="F6" s="276" t="s">
        <v>411</v>
      </c>
      <c r="G6" s="291"/>
      <c r="H6" s="7"/>
      <c r="I6" s="291"/>
      <c r="J6" s="291"/>
      <c r="K6" s="291"/>
      <c r="L6" s="291"/>
      <c r="M6" s="291"/>
      <c r="N6" s="291"/>
      <c r="O6" s="284"/>
      <c r="P6" s="284"/>
      <c r="Q6" s="284"/>
      <c r="R6" s="288">
        <f>+PRODUCT(O6:Q6)^(1/3)</f>
        <v>0</v>
      </c>
      <c r="S6" s="284"/>
      <c r="T6" s="284"/>
      <c r="U6" s="288">
        <f>+S6*T6/3</f>
        <v>0</v>
      </c>
      <c r="V6" s="278">
        <f>+U6*R6</f>
        <v>0</v>
      </c>
      <c r="W6" s="278" t="str">
        <f>+IF(V6&lt;=6,"Riesgo bajo",IF(V6&lt;=12,"Riesgo medio",IF(V6&lt;=32,"Riesgo alto","Riesgo muy alto")))</f>
        <v>Riesgo bajo</v>
      </c>
    </row>
  </sheetData>
  <mergeCells count="8">
    <mergeCell ref="S2:U2"/>
    <mergeCell ref="O2:R2"/>
    <mergeCell ref="I2:N2"/>
    <mergeCell ref="A2:A3"/>
    <mergeCell ref="B2:D2"/>
    <mergeCell ref="E2:E3"/>
    <mergeCell ref="F2:F3"/>
    <mergeCell ref="G2:H2"/>
  </mergeCells>
  <conditionalFormatting sqref="V5:V6">
    <cfRule type="cellIs" dxfId="22" priority="1" stopIfTrue="1" operator="greaterThan">
      <formula>32</formula>
    </cfRule>
    <cfRule type="cellIs" dxfId="21" priority="2" stopIfTrue="1" operator="between">
      <formula>12</formula>
      <formula>31.99</formula>
    </cfRule>
    <cfRule type="cellIs" dxfId="20" priority="3" stopIfTrue="1" operator="between">
      <formula>6</formula>
      <formula>11.99</formula>
    </cfRule>
    <cfRule type="cellIs" dxfId="19" priority="4" stopIfTrue="1" operator="lessThanOrEqual">
      <formula>6</formula>
    </cfRule>
  </conditionalFormatting>
  <conditionalFormatting sqref="W5:W6">
    <cfRule type="expression" dxfId="18" priority="5" stopIfTrue="1">
      <formula>$V5&gt;32</formula>
    </cfRule>
    <cfRule type="expression" dxfId="17" priority="6" stopIfTrue="1">
      <formula>AND($V5&gt;12,$V5&lt;=32)</formula>
    </cfRule>
    <cfRule type="expression" dxfId="16" priority="7" stopIfTrue="1">
      <formula>AND($V5&gt;6,$V5&lt;=12)</formula>
    </cfRule>
    <cfRule type="expression" dxfId="15" priority="8" stopIfTrue="1">
      <formula>$V5&lt;=6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'\\madricpd2fs00\datos\Proyectos\3055320-DIGITALIZACION SGPAGR\02_DIGITALIZACIÓN DE LA INFORMACIÓN DE VERTIDOS\PGRAR USO URBANO CYGSA SEVILLA\ÚLTIMAS NOVEDADES DIC2024\[Datos_PGRAR EMASESA_v4.xlsx]Aux'!#REF!</xm:f>
          </x14:formula1>
          <xm:sqref>A5:A6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N9" sqref="N9"/>
    </sheetView>
  </sheetViews>
  <sheetFormatPr baseColWidth="10" defaultColWidth="11.44140625" defaultRowHeight="13.8"/>
  <cols>
    <col min="1" max="1" width="14.109375" style="3" customWidth="1"/>
    <col min="2" max="2" width="38" style="3" bestFit="1" customWidth="1"/>
    <col min="3" max="3" width="38" style="3" customWidth="1"/>
    <col min="4" max="4" width="14.109375" style="3" customWidth="1"/>
    <col min="5" max="6" width="9.88671875" style="3" customWidth="1"/>
    <col min="7" max="7" width="13.88671875" style="3" customWidth="1"/>
    <col min="8" max="9" width="11.88671875" style="3" customWidth="1"/>
    <col min="10" max="10" width="16.5546875" style="3" customWidth="1"/>
    <col min="11" max="16384" width="11.44140625" style="3"/>
  </cols>
  <sheetData>
    <row r="1" spans="1:10" ht="96" customHeight="1"/>
    <row r="2" spans="1:10" ht="27.6">
      <c r="A2" s="14" t="s">
        <v>17</v>
      </c>
    </row>
    <row r="4" spans="1:10" ht="29.4" customHeight="1">
      <c r="A4" s="14"/>
      <c r="B4" s="14"/>
      <c r="C4" s="14"/>
      <c r="D4" s="477" t="s">
        <v>22</v>
      </c>
      <c r="E4" s="477"/>
      <c r="F4" s="477"/>
      <c r="G4" s="477"/>
      <c r="H4" s="478"/>
      <c r="I4" s="193"/>
      <c r="J4" s="172" t="s">
        <v>45</v>
      </c>
    </row>
    <row r="5" spans="1:10" ht="39.75" customHeight="1">
      <c r="A5" s="175" t="s">
        <v>18</v>
      </c>
      <c r="B5" s="176" t="s">
        <v>19</v>
      </c>
      <c r="C5" s="76" t="s">
        <v>270</v>
      </c>
      <c r="D5" s="76" t="s">
        <v>268</v>
      </c>
      <c r="E5" s="76" t="s">
        <v>83</v>
      </c>
      <c r="F5" s="76" t="s">
        <v>263</v>
      </c>
      <c r="G5" s="76" t="s">
        <v>258</v>
      </c>
      <c r="H5" s="76" t="s">
        <v>82</v>
      </c>
      <c r="I5" s="76" t="s">
        <v>269</v>
      </c>
      <c r="J5" s="179" t="s">
        <v>72</v>
      </c>
    </row>
    <row r="6" spans="1:10">
      <c r="A6" s="6" t="str">
        <f>+T37_POI[[#This Row],[Denominación]]</f>
        <v>PEAD-01</v>
      </c>
      <c r="B6" s="6">
        <f>+T37_POI[[#This Row],[Descripción]]</f>
        <v>0</v>
      </c>
      <c r="C6" s="6">
        <f>+T37_POI[[#This Row],[Descripción de su ubicación
(ej. última arqueta dentro de la ERA; arqueta a la salida de la ERA…)]]</f>
        <v>0</v>
      </c>
      <c r="D6" s="41"/>
      <c r="E6" s="41"/>
      <c r="F6" s="41"/>
      <c r="G6" s="41"/>
      <c r="H6" s="41"/>
      <c r="I6" s="41">
        <f>+T37_POI[[#This Row],[En el punto]]</f>
        <v>0</v>
      </c>
      <c r="J6" s="41"/>
    </row>
    <row r="7" spans="1:10">
      <c r="A7" s="6" t="str">
        <f>+T37_POI[[#This Row],[Denominación]]</f>
        <v>PCAR-01</v>
      </c>
      <c r="B7" s="6">
        <f>+T37_POI[[#This Row],[Descripción]]</f>
        <v>0</v>
      </c>
      <c r="C7" s="6">
        <f>+T37_POI[[#This Row],[Descripción de su ubicación
(ej. última arqueta dentro de la ERA; arqueta a la salida de la ERA…)]]</f>
        <v>0</v>
      </c>
      <c r="D7" s="41"/>
      <c r="E7" s="41"/>
      <c r="F7" s="41"/>
      <c r="G7" s="41"/>
      <c r="H7" s="41"/>
      <c r="I7" s="41">
        <f>+T37_POI[[#This Row],[En el punto]]</f>
        <v>0</v>
      </c>
      <c r="J7" s="41"/>
    </row>
    <row r="8" spans="1:10">
      <c r="A8" s="6" t="str">
        <f>+T37_POI[[#This Row],[Denominación]]</f>
        <v>PEAR-01</v>
      </c>
      <c r="B8" s="6">
        <f>+T37_POI[[#This Row],[Descripción]]</f>
        <v>0</v>
      </c>
      <c r="C8" s="6">
        <f>+T37_POI[[#This Row],[Descripción de su ubicación
(ej. última arqueta dentro de la ERA; arqueta a la salida de la ERA…)]]</f>
        <v>0</v>
      </c>
      <c r="D8" s="41"/>
      <c r="E8" s="41"/>
      <c r="F8" s="41"/>
      <c r="G8" s="41"/>
      <c r="H8" s="41"/>
      <c r="I8" s="41">
        <f>+T37_POI[[#This Row],[En el punto]]</f>
        <v>0</v>
      </c>
      <c r="J8" s="41"/>
    </row>
    <row r="9" spans="1:10">
      <c r="A9" s="6"/>
      <c r="B9" s="6"/>
      <c r="C9" s="6"/>
      <c r="D9" s="41"/>
      <c r="E9" s="41"/>
      <c r="F9" s="41"/>
      <c r="G9" s="41"/>
      <c r="H9" s="41"/>
      <c r="I9" s="41"/>
      <c r="J9" s="41"/>
    </row>
    <row r="10" spans="1:10">
      <c r="A10" s="6"/>
      <c r="B10" s="6"/>
      <c r="C10" s="6"/>
      <c r="D10" s="41"/>
      <c r="E10" s="41"/>
      <c r="F10" s="41"/>
      <c r="G10" s="41"/>
      <c r="H10" s="41"/>
      <c r="I10" s="41"/>
      <c r="J10" s="41"/>
    </row>
    <row r="11" spans="1:10">
      <c r="A11" s="6"/>
      <c r="B11" s="6"/>
      <c r="C11" s="6"/>
      <c r="D11" s="41"/>
      <c r="E11" s="41"/>
      <c r="F11" s="41"/>
      <c r="G11" s="41"/>
      <c r="H11" s="41"/>
      <c r="I11" s="41"/>
      <c r="J11" s="41"/>
    </row>
    <row r="12" spans="1:10">
      <c r="A12" s="6"/>
      <c r="B12" s="6"/>
      <c r="C12" s="6"/>
      <c r="D12" s="41"/>
      <c r="E12" s="41"/>
      <c r="F12" s="41"/>
      <c r="G12" s="41"/>
      <c r="H12" s="41"/>
      <c r="I12" s="41"/>
      <c r="J12" s="41"/>
    </row>
    <row r="13" spans="1:10">
      <c r="A13" s="6"/>
      <c r="B13" s="6"/>
      <c r="C13" s="6"/>
      <c r="D13" s="41"/>
      <c r="E13" s="41"/>
      <c r="F13" s="41"/>
      <c r="G13" s="41"/>
      <c r="H13" s="41"/>
      <c r="I13" s="41"/>
      <c r="J13" s="41"/>
    </row>
    <row r="14" spans="1:10">
      <c r="A14" s="6"/>
      <c r="B14" s="6"/>
      <c r="C14" s="6"/>
      <c r="D14" s="41"/>
      <c r="E14" s="41"/>
      <c r="F14" s="41"/>
      <c r="G14" s="41"/>
      <c r="H14" s="41"/>
      <c r="I14" s="41"/>
      <c r="J14" s="41"/>
    </row>
    <row r="15" spans="1:10">
      <c r="A15" s="6"/>
      <c r="B15" s="6"/>
      <c r="C15" s="6"/>
      <c r="D15" s="41"/>
      <c r="E15" s="41"/>
      <c r="F15" s="41"/>
      <c r="G15" s="41"/>
      <c r="H15" s="41"/>
      <c r="I15" s="41"/>
      <c r="J15" s="41"/>
    </row>
    <row r="16" spans="1:10">
      <c r="A16" s="6"/>
      <c r="B16" s="6"/>
      <c r="C16" s="6"/>
      <c r="D16" s="41"/>
      <c r="E16" s="41"/>
      <c r="F16" s="41"/>
      <c r="G16" s="41"/>
      <c r="H16" s="41"/>
      <c r="I16" s="41"/>
      <c r="J16" s="41"/>
    </row>
    <row r="17" spans="1:10">
      <c r="A17" s="6"/>
      <c r="B17" s="6"/>
      <c r="C17" s="6"/>
      <c r="D17" s="41"/>
      <c r="E17" s="41"/>
      <c r="F17" s="41"/>
      <c r="G17" s="41"/>
      <c r="H17" s="41"/>
      <c r="I17" s="41"/>
      <c r="J17" s="180"/>
    </row>
    <row r="18" spans="1:10">
      <c r="A18" s="6"/>
      <c r="B18" s="6"/>
      <c r="C18" s="6"/>
      <c r="D18" s="41"/>
      <c r="E18" s="41"/>
      <c r="F18" s="41"/>
      <c r="G18" s="41"/>
      <c r="H18" s="41"/>
      <c r="I18" s="41"/>
      <c r="J18" s="180"/>
    </row>
    <row r="19" spans="1:10">
      <c r="A19" s="6"/>
      <c r="B19" s="6"/>
      <c r="C19" s="6"/>
      <c r="D19" s="41"/>
      <c r="E19" s="41"/>
      <c r="F19" s="41"/>
      <c r="G19" s="41"/>
      <c r="H19" s="41"/>
      <c r="I19" s="41"/>
      <c r="J19" s="41"/>
    </row>
    <row r="20" spans="1:10">
      <c r="A20" s="6"/>
      <c r="B20" s="6"/>
      <c r="C20" s="6"/>
      <c r="D20" s="41"/>
      <c r="E20" s="41"/>
      <c r="F20" s="41"/>
      <c r="G20" s="41"/>
      <c r="H20" s="41"/>
      <c r="I20" s="41"/>
      <c r="J20" s="41"/>
    </row>
    <row r="21" spans="1:10">
      <c r="A21" s="6"/>
      <c r="B21" s="6"/>
      <c r="C21" s="6"/>
      <c r="D21" s="41"/>
      <c r="E21" s="41"/>
      <c r="F21" s="41"/>
      <c r="G21" s="41"/>
      <c r="H21" s="41"/>
      <c r="I21" s="41"/>
      <c r="J21" s="41"/>
    </row>
    <row r="22" spans="1:10">
      <c r="A22" s="6"/>
      <c r="B22" s="6"/>
      <c r="C22" s="6"/>
      <c r="D22" s="41"/>
      <c r="E22" s="41"/>
      <c r="F22" s="41"/>
      <c r="G22" s="41"/>
      <c r="H22" s="41"/>
      <c r="I22" s="41"/>
      <c r="J22" s="41"/>
    </row>
    <row r="23" spans="1:10">
      <c r="A23" s="6"/>
      <c r="B23" s="6"/>
      <c r="C23" s="6"/>
      <c r="D23" s="41"/>
      <c r="E23" s="41"/>
      <c r="F23" s="41"/>
      <c r="G23" s="41"/>
      <c r="H23" s="41"/>
      <c r="I23" s="41"/>
      <c r="J23" s="41"/>
    </row>
    <row r="24" spans="1:10">
      <c r="A24" s="6"/>
      <c r="B24" s="6"/>
      <c r="C24" s="6"/>
      <c r="D24" s="41"/>
      <c r="E24" s="41"/>
      <c r="F24" s="41"/>
      <c r="G24" s="41"/>
      <c r="H24" s="41"/>
      <c r="I24" s="41"/>
      <c r="J24" s="41"/>
    </row>
    <row r="25" spans="1:10">
      <c r="A25" s="6"/>
      <c r="B25" s="6"/>
      <c r="C25" s="6"/>
      <c r="D25" s="41"/>
      <c r="E25" s="41"/>
      <c r="F25" s="41"/>
      <c r="G25" s="41"/>
      <c r="H25" s="41"/>
      <c r="I25" s="41"/>
      <c r="J25" s="41"/>
    </row>
    <row r="26" spans="1:10" ht="12" customHeight="1">
      <c r="A26" s="6"/>
      <c r="B26" s="6"/>
      <c r="C26" s="6"/>
      <c r="D26" s="41"/>
      <c r="E26" s="41"/>
      <c r="F26" s="41"/>
      <c r="G26" s="41"/>
      <c r="H26" s="41"/>
      <c r="I26" s="41"/>
      <c r="J26" s="41"/>
    </row>
    <row r="27" spans="1:10">
      <c r="A27" s="6"/>
      <c r="B27" s="6"/>
      <c r="C27" s="6"/>
      <c r="D27" s="41"/>
      <c r="E27" s="41"/>
      <c r="F27" s="41"/>
      <c r="G27" s="41"/>
      <c r="H27" s="41"/>
      <c r="I27" s="41"/>
      <c r="J27" s="41"/>
    </row>
    <row r="28" spans="1:10">
      <c r="A28" s="6"/>
      <c r="B28" s="6"/>
      <c r="C28" s="6"/>
      <c r="D28" s="41"/>
      <c r="E28" s="41"/>
      <c r="F28" s="41"/>
      <c r="G28" s="41"/>
      <c r="H28" s="41"/>
      <c r="I28" s="41"/>
      <c r="J28" s="41"/>
    </row>
    <row r="29" spans="1:10">
      <c r="A29" s="6"/>
      <c r="B29" s="6"/>
      <c r="C29" s="6"/>
      <c r="D29" s="41"/>
      <c r="E29" s="41"/>
      <c r="F29" s="41"/>
      <c r="G29" s="41"/>
      <c r="H29" s="41"/>
      <c r="I29" s="41"/>
      <c r="J29" s="41"/>
    </row>
    <row r="30" spans="1:10">
      <c r="A30" s="6"/>
      <c r="B30" s="6"/>
      <c r="C30" s="6"/>
      <c r="D30" s="41"/>
      <c r="E30" s="41"/>
      <c r="F30" s="41"/>
      <c r="G30" s="41"/>
      <c r="H30" s="41"/>
      <c r="I30" s="41"/>
      <c r="J30" s="41"/>
    </row>
  </sheetData>
  <mergeCells count="1">
    <mergeCell ref="D4:H4"/>
  </mergeCells>
  <phoneticPr fontId="34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zoomScaleNormal="100" workbookViewId="0">
      <selection activeCell="F27" sqref="F27"/>
    </sheetView>
  </sheetViews>
  <sheetFormatPr baseColWidth="10" defaultColWidth="11.44140625" defaultRowHeight="13.8"/>
  <cols>
    <col min="1" max="1" width="23.6640625" style="26" customWidth="1"/>
    <col min="2" max="2" width="10.33203125" style="26" customWidth="1"/>
    <col min="3" max="3" width="32.6640625" style="26" customWidth="1"/>
    <col min="4" max="4" width="21.33203125" style="26" customWidth="1"/>
    <col min="5" max="7" width="12.5546875" style="26" customWidth="1"/>
    <col min="8" max="8" width="14.88671875" style="26" bestFit="1" customWidth="1"/>
    <col min="9" max="10" width="12.5546875" style="26" customWidth="1"/>
    <col min="11" max="11" width="12.5546875" style="13" customWidth="1"/>
    <col min="12" max="13" width="12.5546875" style="26" customWidth="1"/>
    <col min="14" max="16384" width="11.44140625" style="26"/>
  </cols>
  <sheetData>
    <row r="1" spans="1:21" ht="20.25" customHeight="1">
      <c r="A1" s="34" t="s">
        <v>174</v>
      </c>
      <c r="K1" s="26"/>
    </row>
    <row r="2" spans="1:21" ht="15.75" customHeight="1">
      <c r="K2" s="26"/>
    </row>
    <row r="3" spans="1:21">
      <c r="K3" s="26"/>
    </row>
    <row r="4" spans="1:21" ht="80.25" customHeight="1">
      <c r="K4" s="26"/>
    </row>
    <row r="5" spans="1:21">
      <c r="K5" s="26"/>
    </row>
    <row r="6" spans="1:21" ht="17.25" customHeight="1">
      <c r="K6" s="26"/>
    </row>
    <row r="7" spans="1:21" ht="36" customHeight="1">
      <c r="A7" s="99" t="s">
        <v>334</v>
      </c>
      <c r="B7" s="1"/>
      <c r="D7" s="411" t="s">
        <v>207</v>
      </c>
      <c r="E7" s="414"/>
      <c r="F7" s="414"/>
      <c r="G7" s="414"/>
      <c r="H7" s="414"/>
      <c r="I7" s="415"/>
      <c r="J7" s="412" t="s">
        <v>172</v>
      </c>
      <c r="K7" s="412"/>
      <c r="L7" s="412"/>
      <c r="M7" s="413"/>
      <c r="N7" s="411" t="s">
        <v>197</v>
      </c>
      <c r="O7" s="412"/>
      <c r="P7" s="412"/>
      <c r="Q7" s="412"/>
      <c r="R7" s="412"/>
      <c r="S7" s="412"/>
      <c r="T7" s="412"/>
      <c r="U7" s="413"/>
    </row>
    <row r="8" spans="1:21" ht="15" customHeight="1">
      <c r="A8" s="99" t="s">
        <v>16</v>
      </c>
      <c r="B8" s="1">
        <v>2024</v>
      </c>
      <c r="D8" s="100" t="str">
        <f>IFERROR(AVERAGE(T324_CaractBruta[Sólidos en suspensión]),"")</f>
        <v/>
      </c>
      <c r="E8" s="100" t="str">
        <f>IFERROR(AVERAGE(T324_CaractBruta[Escherichia coli]),"")</f>
        <v/>
      </c>
      <c r="F8" s="100"/>
      <c r="G8" s="100"/>
      <c r="H8" s="100" t="str">
        <f>IFERROR(AVERAGE(T324_CaractBruta[Legionella]),"")</f>
        <v/>
      </c>
      <c r="I8" s="100" t="str">
        <f>IFERROR(AVERAGE(T324_CaractBruta[Nematodos intestinales]),"")</f>
        <v/>
      </c>
      <c r="J8" s="100"/>
      <c r="K8" s="100" t="str">
        <f>IFERROR(AVERAGE(T324_CaractBruta[DQO]),"")</f>
        <v/>
      </c>
      <c r="L8" s="100" t="str">
        <f>IFERROR(AVERAGE(T324_CaractBruta[Nitrógeno total]),"")</f>
        <v/>
      </c>
      <c r="M8" s="100" t="str">
        <f>IFERROR(AVERAGE(T324_CaractBruta[Fósforo total]),"")</f>
        <v/>
      </c>
      <c r="N8" s="100" t="str">
        <f>IFERROR(AVERAGE(T324_CaractBruta[Columna1]),"")</f>
        <v/>
      </c>
      <c r="O8" s="100" t="str">
        <f>IFERROR(AVERAGE(T324_CaractBruta[Columna2]),"")</f>
        <v/>
      </c>
      <c r="P8" s="100" t="str">
        <f>IFERROR(AVERAGE(T324_CaractBruta[Columna3]),"")</f>
        <v/>
      </c>
      <c r="Q8" s="100" t="str">
        <f>IFERROR(AVERAGE(T324_CaractBruta[Columna4]),"")</f>
        <v/>
      </c>
      <c r="R8" s="100" t="str">
        <f>IFERROR(AVERAGE(T324_CaractBruta[Columna5]),"")</f>
        <v/>
      </c>
      <c r="S8" s="100" t="str">
        <f>IFERROR(AVERAGE(T324_CaractBruta[Columna6]),"")</f>
        <v/>
      </c>
      <c r="T8" s="100" t="str">
        <f>IFERROR(AVERAGE(T324_CaractBruta[Columna7]),"")</f>
        <v/>
      </c>
      <c r="U8" s="100" t="str">
        <f>IFERROR(AVERAGE(T324_CaractBruta[Columna8]),"")</f>
        <v/>
      </c>
    </row>
    <row r="9" spans="1:21" ht="30" customHeight="1">
      <c r="A9" s="409" t="s">
        <v>202</v>
      </c>
      <c r="B9" s="407" t="s">
        <v>10</v>
      </c>
      <c r="C9" s="407" t="s">
        <v>186</v>
      </c>
      <c r="D9" s="162" t="s">
        <v>153</v>
      </c>
      <c r="E9" s="162" t="s">
        <v>193</v>
      </c>
      <c r="F9" s="162" t="s">
        <v>163</v>
      </c>
      <c r="G9" s="162" t="s">
        <v>157</v>
      </c>
      <c r="H9" s="162" t="s">
        <v>148</v>
      </c>
      <c r="I9" s="162" t="s">
        <v>85</v>
      </c>
      <c r="J9" s="162" t="s">
        <v>82</v>
      </c>
      <c r="K9" s="162" t="s">
        <v>152</v>
      </c>
      <c r="L9" s="162" t="s">
        <v>159</v>
      </c>
      <c r="M9" s="162" t="s">
        <v>154</v>
      </c>
      <c r="N9" s="163"/>
      <c r="O9" s="163"/>
      <c r="P9" s="163"/>
      <c r="Q9" s="163"/>
      <c r="R9" s="163"/>
      <c r="S9" s="163"/>
      <c r="T9" s="163"/>
      <c r="U9" s="163"/>
    </row>
    <row r="10" spans="1:21" ht="18" customHeight="1">
      <c r="A10" s="410"/>
      <c r="B10" s="408"/>
      <c r="C10" s="408"/>
      <c r="D10" s="162" t="s">
        <v>150</v>
      </c>
      <c r="E10" s="162" t="s">
        <v>164</v>
      </c>
      <c r="F10" s="162" t="s">
        <v>128</v>
      </c>
      <c r="G10" s="162" t="s">
        <v>158</v>
      </c>
      <c r="H10" s="162" t="s">
        <v>226</v>
      </c>
      <c r="I10" s="162" t="s">
        <v>156</v>
      </c>
      <c r="J10" s="162" t="s">
        <v>151</v>
      </c>
      <c r="K10" s="162" t="s">
        <v>151</v>
      </c>
      <c r="L10" s="162" t="s">
        <v>160</v>
      </c>
      <c r="M10" s="162" t="s">
        <v>155</v>
      </c>
      <c r="N10" s="162"/>
      <c r="O10" s="162"/>
      <c r="P10" s="162"/>
      <c r="Q10" s="162"/>
      <c r="R10" s="162"/>
      <c r="S10" s="162"/>
      <c r="T10" s="162"/>
      <c r="U10" s="162"/>
    </row>
    <row r="11" spans="1:21" ht="41.4" hidden="1">
      <c r="A11" s="130" t="s">
        <v>0</v>
      </c>
      <c r="B11" s="151" t="s">
        <v>10</v>
      </c>
      <c r="C11" s="152" t="s">
        <v>186</v>
      </c>
      <c r="D11" s="151" t="s">
        <v>163</v>
      </c>
      <c r="E11" s="151" t="s">
        <v>153</v>
      </c>
      <c r="F11" s="151" t="s">
        <v>193</v>
      </c>
      <c r="G11" s="151" t="s">
        <v>206</v>
      </c>
      <c r="H11" s="151" t="s">
        <v>85</v>
      </c>
      <c r="I11" s="151" t="s">
        <v>157</v>
      </c>
      <c r="J11" s="151" t="s">
        <v>205</v>
      </c>
      <c r="K11" s="151" t="s">
        <v>152</v>
      </c>
      <c r="L11" s="151" t="s">
        <v>159</v>
      </c>
      <c r="M11" s="151" t="s">
        <v>154</v>
      </c>
      <c r="N11" s="160" t="s">
        <v>188</v>
      </c>
      <c r="O11" s="160" t="s">
        <v>189</v>
      </c>
      <c r="P11" s="160" t="s">
        <v>190</v>
      </c>
      <c r="Q11" s="160" t="s">
        <v>191</v>
      </c>
      <c r="R11" s="160" t="s">
        <v>192</v>
      </c>
      <c r="S11" s="160" t="s">
        <v>194</v>
      </c>
      <c r="T11" s="160" t="s">
        <v>195</v>
      </c>
      <c r="U11" s="160" t="s">
        <v>196</v>
      </c>
    </row>
    <row r="12" spans="1:21" ht="15" customHeight="1">
      <c r="A12" s="101">
        <v>45292</v>
      </c>
      <c r="B12" s="1">
        <v>2024</v>
      </c>
      <c r="C12" s="102"/>
      <c r="D12" s="103"/>
      <c r="E12" s="103"/>
      <c r="F12" s="198"/>
      <c r="G12" s="103"/>
      <c r="H12" s="103"/>
      <c r="I12" s="161"/>
      <c r="J12" s="161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</row>
    <row r="13" spans="1:21">
      <c r="A13" s="101">
        <v>45323</v>
      </c>
      <c r="B13" s="1">
        <v>2024</v>
      </c>
      <c r="C13" s="104"/>
      <c r="D13" s="103"/>
      <c r="E13" s="103"/>
      <c r="F13" s="198"/>
      <c r="G13" s="103"/>
      <c r="H13" s="103"/>
      <c r="I13" s="103"/>
      <c r="J13" s="103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</row>
    <row r="14" spans="1:21">
      <c r="A14" s="101">
        <v>45352</v>
      </c>
      <c r="B14" s="1">
        <v>2024</v>
      </c>
      <c r="C14" s="104"/>
      <c r="D14" s="103"/>
      <c r="E14" s="103"/>
      <c r="F14" s="198"/>
      <c r="G14" s="103"/>
      <c r="H14" s="103"/>
      <c r="I14" s="103"/>
      <c r="J14" s="103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</row>
    <row r="15" spans="1:21">
      <c r="A15" s="101">
        <v>45383</v>
      </c>
      <c r="B15" s="1">
        <v>2024</v>
      </c>
      <c r="C15" s="104"/>
      <c r="D15" s="103"/>
      <c r="E15" s="103"/>
      <c r="F15" s="198"/>
      <c r="G15" s="103"/>
      <c r="H15" s="103"/>
      <c r="I15" s="103"/>
      <c r="J15" s="103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</row>
    <row r="16" spans="1:21">
      <c r="A16" s="101">
        <v>45413</v>
      </c>
      <c r="B16" s="1">
        <v>2024</v>
      </c>
      <c r="C16" s="104"/>
      <c r="D16" s="105"/>
      <c r="E16" s="105"/>
      <c r="F16" s="199"/>
      <c r="G16" s="105"/>
      <c r="H16" s="105"/>
      <c r="I16" s="105"/>
      <c r="J16" s="105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</row>
    <row r="17" spans="1:21">
      <c r="A17" s="101">
        <v>45444</v>
      </c>
      <c r="B17" s="1">
        <v>2024</v>
      </c>
      <c r="C17" s="104"/>
      <c r="D17" s="105"/>
      <c r="E17" s="105"/>
      <c r="F17" s="199"/>
      <c r="G17" s="105"/>
      <c r="H17" s="105"/>
      <c r="I17" s="105"/>
      <c r="J17" s="105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</row>
    <row r="18" spans="1:21">
      <c r="A18" s="101">
        <v>45474</v>
      </c>
      <c r="B18" s="1">
        <v>2024</v>
      </c>
      <c r="C18" s="104"/>
      <c r="D18" s="105"/>
      <c r="E18" s="105"/>
      <c r="F18" s="199"/>
      <c r="G18" s="105"/>
      <c r="H18" s="105"/>
      <c r="I18" s="105"/>
      <c r="J18" s="105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</row>
    <row r="19" spans="1:21">
      <c r="A19" s="101">
        <v>45505</v>
      </c>
      <c r="B19" s="1">
        <v>2024</v>
      </c>
      <c r="C19" s="104"/>
      <c r="D19" s="105"/>
      <c r="E19" s="105"/>
      <c r="F19" s="199"/>
      <c r="G19" s="105"/>
      <c r="H19" s="105"/>
      <c r="I19" s="105"/>
      <c r="J19" s="105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</row>
    <row r="20" spans="1:21">
      <c r="A20" s="101">
        <v>45536</v>
      </c>
      <c r="B20" s="1">
        <v>2024</v>
      </c>
      <c r="C20" s="104"/>
      <c r="D20" s="105"/>
      <c r="E20" s="105"/>
      <c r="F20" s="199"/>
      <c r="G20" s="105"/>
      <c r="H20" s="105"/>
      <c r="I20" s="105"/>
      <c r="J20" s="105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</row>
    <row r="21" spans="1:21">
      <c r="A21" s="101">
        <v>45566</v>
      </c>
      <c r="B21" s="1">
        <v>2024</v>
      </c>
      <c r="C21" s="104"/>
      <c r="D21" s="105"/>
      <c r="E21" s="105"/>
      <c r="F21" s="199"/>
      <c r="G21" s="105"/>
      <c r="H21" s="105"/>
      <c r="I21" s="105"/>
      <c r="J21" s="105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</row>
    <row r="22" spans="1:21">
      <c r="A22" s="101">
        <v>45597</v>
      </c>
      <c r="B22" s="1">
        <v>2024</v>
      </c>
      <c r="C22" s="104"/>
      <c r="D22" s="105"/>
      <c r="E22" s="105"/>
      <c r="F22" s="105"/>
      <c r="G22" s="105"/>
      <c r="H22" s="105"/>
      <c r="I22" s="105"/>
      <c r="J22" s="105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</row>
    <row r="23" spans="1:21">
      <c r="A23" s="101">
        <v>45627</v>
      </c>
      <c r="B23" s="1">
        <v>2024</v>
      </c>
      <c r="C23" s="106"/>
      <c r="D23" s="107"/>
      <c r="E23" s="107"/>
      <c r="F23" s="107"/>
      <c r="G23" s="107"/>
      <c r="H23" s="107"/>
      <c r="I23" s="107"/>
      <c r="J23" s="107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</row>
    <row r="24" spans="1:21">
      <c r="K24" s="26"/>
    </row>
    <row r="25" spans="1:21">
      <c r="K25" s="26"/>
    </row>
    <row r="26" spans="1:21">
      <c r="K26" s="26"/>
    </row>
    <row r="27" spans="1:21">
      <c r="K27" s="26"/>
    </row>
    <row r="28" spans="1:21">
      <c r="K28" s="26"/>
    </row>
    <row r="29" spans="1:21">
      <c r="K29" s="26"/>
    </row>
    <row r="30" spans="1:21">
      <c r="K30" s="26"/>
    </row>
    <row r="31" spans="1:21">
      <c r="K31" s="26"/>
    </row>
    <row r="32" spans="1:21">
      <c r="K32" s="26"/>
    </row>
    <row r="33" spans="11:11">
      <c r="K33" s="26"/>
    </row>
    <row r="34" spans="11:11">
      <c r="K34" s="26"/>
    </row>
    <row r="35" spans="11:11">
      <c r="K35" s="26"/>
    </row>
  </sheetData>
  <autoFilter ref="N9:U9"/>
  <mergeCells count="6">
    <mergeCell ref="C9:C10"/>
    <mergeCell ref="B9:B10"/>
    <mergeCell ref="A9:A10"/>
    <mergeCell ref="N7:U7"/>
    <mergeCell ref="J7:M7"/>
    <mergeCell ref="D7:I7"/>
  </mergeCells>
  <dataValidations count="1">
    <dataValidation type="list" allowBlank="1" showInputMessage="1" showErrorMessage="1" sqref="D11:M11 E9:Y9">
      <formula1>#REF!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zoomScaleNormal="100" workbookViewId="0"/>
  </sheetViews>
  <sheetFormatPr baseColWidth="10" defaultColWidth="11.44140625" defaultRowHeight="13.8"/>
  <cols>
    <col min="1" max="1" width="23.6640625" style="26" customWidth="1"/>
    <col min="2" max="2" width="10.33203125" style="26" customWidth="1"/>
    <col min="3" max="3" width="32.6640625" style="26" customWidth="1"/>
    <col min="4" max="4" width="21.33203125" style="26" customWidth="1"/>
    <col min="5" max="10" width="12.5546875" style="26" customWidth="1"/>
    <col min="11" max="11" width="12.5546875" style="13" customWidth="1"/>
    <col min="12" max="13" width="12.5546875" style="26" customWidth="1"/>
    <col min="14" max="16384" width="11.44140625" style="26"/>
  </cols>
  <sheetData>
    <row r="1" spans="1:21" ht="20.25" customHeight="1">
      <c r="A1" s="34" t="s">
        <v>198</v>
      </c>
      <c r="K1" s="26"/>
    </row>
    <row r="2" spans="1:21" ht="15.75" customHeight="1">
      <c r="K2" s="26"/>
    </row>
    <row r="3" spans="1:21">
      <c r="K3" s="26"/>
    </row>
    <row r="4" spans="1:21" ht="80.25" customHeight="1">
      <c r="K4" s="26"/>
    </row>
    <row r="5" spans="1:21">
      <c r="K5" s="26"/>
    </row>
    <row r="6" spans="1:21" ht="17.25" customHeight="1">
      <c r="K6" s="26"/>
    </row>
    <row r="7" spans="1:21" ht="36" customHeight="1">
      <c r="A7" s="99" t="s">
        <v>334</v>
      </c>
      <c r="B7" s="1"/>
      <c r="D7" s="411" t="s">
        <v>207</v>
      </c>
      <c r="E7" s="414"/>
      <c r="F7" s="414"/>
      <c r="G7" s="414"/>
      <c r="H7" s="414"/>
      <c r="I7" s="415"/>
      <c r="J7" s="412" t="s">
        <v>172</v>
      </c>
      <c r="K7" s="412"/>
      <c r="L7" s="412"/>
      <c r="M7" s="413"/>
      <c r="N7" s="411" t="s">
        <v>197</v>
      </c>
      <c r="O7" s="412"/>
      <c r="P7" s="412"/>
      <c r="Q7" s="412"/>
      <c r="R7" s="412"/>
      <c r="S7" s="412"/>
      <c r="T7" s="412"/>
      <c r="U7" s="413"/>
    </row>
    <row r="8" spans="1:21" ht="15" customHeight="1">
      <c r="A8" s="99" t="s">
        <v>16</v>
      </c>
      <c r="B8" s="1">
        <v>2024</v>
      </c>
      <c r="D8" s="100" t="str">
        <f>IFERROR(AVERAGE(T324_CaractBruta26[Sólidos en suspensión]),"")</f>
        <v/>
      </c>
      <c r="E8" s="100" t="str">
        <f>IFERROR(AVERAGE(T324_CaractBruta26[Escherichia coli]),"")</f>
        <v/>
      </c>
      <c r="F8" s="100" t="str">
        <f>IFERROR(AVERAGE(T324_CaractBruta26[Turbidez in situ]),"")</f>
        <v/>
      </c>
      <c r="G8" s="100"/>
      <c r="H8" s="100" t="str">
        <f>IFERROR(AVERAGE(T324_CaractBruta26[Legionella]),"")</f>
        <v/>
      </c>
      <c r="I8" s="100" t="str">
        <f>IFERROR(AVERAGE(T324_CaractBruta26[Nematodos intestinales]),"")</f>
        <v/>
      </c>
      <c r="J8" s="100"/>
      <c r="K8" s="100" t="str">
        <f>IFERROR(AVERAGE(T324_CaractBruta26[DQO]),"")</f>
        <v/>
      </c>
      <c r="L8" s="100" t="str">
        <f>IFERROR(AVERAGE(T324_CaractBruta26[Nitrógeno total]),"")</f>
        <v/>
      </c>
      <c r="M8" s="100" t="str">
        <f>IFERROR(AVERAGE(T324_CaractBruta26[Fósforo total]),"")</f>
        <v/>
      </c>
      <c r="N8" s="100" t="str">
        <f>IFERROR(AVERAGE(T324_CaractBruta26[Columna1]),"")</f>
        <v/>
      </c>
      <c r="O8" s="100" t="str">
        <f>IFERROR(AVERAGE(T324_CaractBruta26[Columna2]),"")</f>
        <v/>
      </c>
      <c r="P8" s="100" t="str">
        <f>IFERROR(AVERAGE(T324_CaractBruta26[Columna3]),"")</f>
        <v/>
      </c>
      <c r="Q8" s="100" t="str">
        <f>IFERROR(AVERAGE(T324_CaractBruta26[Columna4]),"")</f>
        <v/>
      </c>
      <c r="R8" s="100" t="str">
        <f>IFERROR(AVERAGE(T324_CaractBruta26[Columna5]),"")</f>
        <v/>
      </c>
      <c r="S8" s="100" t="str">
        <f>IFERROR(AVERAGE(T324_CaractBruta26[Columna6]),"")</f>
        <v/>
      </c>
      <c r="T8" s="100" t="str">
        <f>IFERROR(AVERAGE(T324_CaractBruta26[Columna7]),"")</f>
        <v/>
      </c>
      <c r="U8" s="100" t="str">
        <f>IFERROR(AVERAGE(T324_CaractBruta26[Columna8]),"")</f>
        <v/>
      </c>
    </row>
    <row r="9" spans="1:21" ht="30" customHeight="1">
      <c r="A9" s="409" t="s">
        <v>202</v>
      </c>
      <c r="B9" s="407" t="s">
        <v>10</v>
      </c>
      <c r="C9" s="407" t="s">
        <v>186</v>
      </c>
      <c r="D9" s="162" t="s">
        <v>153</v>
      </c>
      <c r="E9" s="162" t="s">
        <v>193</v>
      </c>
      <c r="F9" s="162" t="s">
        <v>163</v>
      </c>
      <c r="G9" s="162" t="s">
        <v>157</v>
      </c>
      <c r="H9" s="162" t="s">
        <v>148</v>
      </c>
      <c r="I9" s="162" t="s">
        <v>85</v>
      </c>
      <c r="J9" s="162" t="s">
        <v>82</v>
      </c>
      <c r="K9" s="162" t="s">
        <v>152</v>
      </c>
      <c r="L9" s="162" t="s">
        <v>159</v>
      </c>
      <c r="M9" s="162" t="s">
        <v>154</v>
      </c>
      <c r="N9" s="163"/>
      <c r="O9" s="163"/>
      <c r="P9" s="163"/>
      <c r="Q9" s="163"/>
      <c r="R9" s="163"/>
      <c r="S9" s="163"/>
      <c r="T9" s="163"/>
      <c r="U9" s="163"/>
    </row>
    <row r="10" spans="1:21" ht="18" customHeight="1">
      <c r="A10" s="410"/>
      <c r="B10" s="408"/>
      <c r="C10" s="408"/>
      <c r="D10" s="162" t="s">
        <v>150</v>
      </c>
      <c r="E10" s="162" t="s">
        <v>164</v>
      </c>
      <c r="F10" s="162" t="s">
        <v>128</v>
      </c>
      <c r="G10" s="162" t="s">
        <v>158</v>
      </c>
      <c r="H10" s="162" t="s">
        <v>226</v>
      </c>
      <c r="I10" s="162" t="s">
        <v>156</v>
      </c>
      <c r="J10" s="162" t="s">
        <v>151</v>
      </c>
      <c r="K10" s="162" t="s">
        <v>151</v>
      </c>
      <c r="L10" s="162" t="s">
        <v>160</v>
      </c>
      <c r="M10" s="162" t="s">
        <v>155</v>
      </c>
      <c r="N10" s="162" t="str">
        <f>IFERROR(VLOOKUP(N9,#REF!,2,FALSE),"-")</f>
        <v>-</v>
      </c>
      <c r="O10" s="162" t="str">
        <f>IFERROR(VLOOKUP(O9,#REF!,2,FALSE),"-")</f>
        <v>-</v>
      </c>
      <c r="P10" s="162" t="str">
        <f>IFERROR(VLOOKUP(P9,#REF!,2,FALSE),"-")</f>
        <v>-</v>
      </c>
      <c r="Q10" s="162" t="str">
        <f>IFERROR(VLOOKUP(Q9,#REF!,2,FALSE),"-")</f>
        <v>-</v>
      </c>
      <c r="R10" s="162" t="str">
        <f>IFERROR(VLOOKUP(R9,#REF!,2,FALSE),"-")</f>
        <v>-</v>
      </c>
      <c r="S10" s="162" t="str">
        <f>IFERROR(VLOOKUP(S9,#REF!,2,FALSE),"-")</f>
        <v>-</v>
      </c>
      <c r="T10" s="162" t="str">
        <f>IFERROR(VLOOKUP(T9,#REF!,2,FALSE),"-")</f>
        <v>-</v>
      </c>
      <c r="U10" s="162" t="str">
        <f>IFERROR(VLOOKUP(U9,#REF!,2,FALSE),"-")</f>
        <v>-</v>
      </c>
    </row>
    <row r="11" spans="1:21" ht="41.4" hidden="1">
      <c r="A11" s="130" t="s">
        <v>0</v>
      </c>
      <c r="B11" s="151" t="s">
        <v>10</v>
      </c>
      <c r="C11" s="152" t="s">
        <v>186</v>
      </c>
      <c r="D11" s="151" t="s">
        <v>163</v>
      </c>
      <c r="E11" s="151" t="s">
        <v>153</v>
      </c>
      <c r="F11" s="151" t="s">
        <v>193</v>
      </c>
      <c r="G11" s="151" t="s">
        <v>206</v>
      </c>
      <c r="H11" s="151" t="s">
        <v>85</v>
      </c>
      <c r="I11" s="151" t="s">
        <v>157</v>
      </c>
      <c r="J11" s="151" t="s">
        <v>205</v>
      </c>
      <c r="K11" s="151" t="s">
        <v>152</v>
      </c>
      <c r="L11" s="151" t="s">
        <v>159</v>
      </c>
      <c r="M11" s="151" t="s">
        <v>154</v>
      </c>
      <c r="N11" s="160" t="s">
        <v>188</v>
      </c>
      <c r="O11" s="160" t="s">
        <v>189</v>
      </c>
      <c r="P11" s="160" t="s">
        <v>190</v>
      </c>
      <c r="Q11" s="160" t="s">
        <v>191</v>
      </c>
      <c r="R11" s="160" t="s">
        <v>192</v>
      </c>
      <c r="S11" s="160" t="s">
        <v>194</v>
      </c>
      <c r="T11" s="160" t="s">
        <v>195</v>
      </c>
      <c r="U11" s="160" t="s">
        <v>196</v>
      </c>
    </row>
    <row r="12" spans="1:21" ht="15" customHeight="1">
      <c r="A12" s="101">
        <v>45292</v>
      </c>
      <c r="B12" s="1">
        <v>2024</v>
      </c>
      <c r="C12" s="102"/>
      <c r="D12" s="103"/>
      <c r="E12" s="103"/>
      <c r="F12" s="103"/>
      <c r="G12" s="103"/>
      <c r="H12" s="103"/>
      <c r="I12" s="161"/>
      <c r="J12" s="161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</row>
    <row r="13" spans="1:21">
      <c r="A13" s="101">
        <v>45323</v>
      </c>
      <c r="B13" s="1">
        <v>2024</v>
      </c>
      <c r="C13" s="104"/>
      <c r="D13" s="103"/>
      <c r="E13" s="103"/>
      <c r="F13" s="103"/>
      <c r="G13" s="103"/>
      <c r="H13" s="103"/>
      <c r="I13" s="103"/>
      <c r="J13" s="103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</row>
    <row r="14" spans="1:21">
      <c r="A14" s="101">
        <v>45352</v>
      </c>
      <c r="B14" s="1">
        <v>2024</v>
      </c>
      <c r="C14" s="104"/>
      <c r="D14" s="103"/>
      <c r="E14" s="103"/>
      <c r="F14" s="103"/>
      <c r="G14" s="103"/>
      <c r="H14" s="103"/>
      <c r="I14" s="103"/>
      <c r="J14" s="103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</row>
    <row r="15" spans="1:21">
      <c r="A15" s="101">
        <v>45383</v>
      </c>
      <c r="B15" s="1">
        <v>2024</v>
      </c>
      <c r="C15" s="104"/>
      <c r="D15" s="103"/>
      <c r="E15" s="103"/>
      <c r="F15" s="103"/>
      <c r="G15" s="103"/>
      <c r="H15" s="103"/>
      <c r="I15" s="103"/>
      <c r="J15" s="103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</row>
    <row r="16" spans="1:21">
      <c r="A16" s="101">
        <v>45413</v>
      </c>
      <c r="B16" s="1">
        <v>2024</v>
      </c>
      <c r="C16" s="104"/>
      <c r="D16" s="105"/>
      <c r="E16" s="105"/>
      <c r="F16" s="105"/>
      <c r="G16" s="105"/>
      <c r="H16" s="105"/>
      <c r="I16" s="105"/>
      <c r="J16" s="105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</row>
    <row r="17" spans="1:21">
      <c r="A17" s="101">
        <v>45444</v>
      </c>
      <c r="B17" s="1">
        <v>2024</v>
      </c>
      <c r="C17" s="104"/>
      <c r="D17" s="105"/>
      <c r="E17" s="105"/>
      <c r="F17" s="105"/>
      <c r="G17" s="105"/>
      <c r="H17" s="105"/>
      <c r="I17" s="105"/>
      <c r="J17" s="105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</row>
    <row r="18" spans="1:21">
      <c r="A18" s="101">
        <v>45474</v>
      </c>
      <c r="B18" s="1">
        <v>2024</v>
      </c>
      <c r="C18" s="104"/>
      <c r="D18" s="105"/>
      <c r="E18" s="105"/>
      <c r="F18" s="105"/>
      <c r="G18" s="105"/>
      <c r="H18" s="105"/>
      <c r="I18" s="105"/>
      <c r="J18" s="105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</row>
    <row r="19" spans="1:21">
      <c r="A19" s="101">
        <v>45505</v>
      </c>
      <c r="B19" s="1">
        <v>2024</v>
      </c>
      <c r="C19" s="104"/>
      <c r="D19" s="105"/>
      <c r="E19" s="105"/>
      <c r="F19" s="105"/>
      <c r="G19" s="105"/>
      <c r="H19" s="105"/>
      <c r="I19" s="105"/>
      <c r="J19" s="105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</row>
    <row r="20" spans="1:21">
      <c r="A20" s="101">
        <v>45536</v>
      </c>
      <c r="B20" s="1">
        <v>2024</v>
      </c>
      <c r="C20" s="104"/>
      <c r="D20" s="105"/>
      <c r="E20" s="105"/>
      <c r="F20" s="105"/>
      <c r="G20" s="105"/>
      <c r="H20" s="105"/>
      <c r="I20" s="105"/>
      <c r="J20" s="105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</row>
    <row r="21" spans="1:21">
      <c r="A21" s="101">
        <v>45566</v>
      </c>
      <c r="B21" s="1">
        <v>2024</v>
      </c>
      <c r="C21" s="104"/>
      <c r="D21" s="105"/>
      <c r="E21" s="105"/>
      <c r="F21" s="105"/>
      <c r="G21" s="105"/>
      <c r="H21" s="105"/>
      <c r="I21" s="105"/>
      <c r="J21" s="105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</row>
    <row r="22" spans="1:21">
      <c r="A22" s="101">
        <v>45597</v>
      </c>
      <c r="B22" s="1">
        <v>2024</v>
      </c>
      <c r="C22" s="104"/>
      <c r="D22" s="105"/>
      <c r="E22" s="105"/>
      <c r="F22" s="105"/>
      <c r="G22" s="105"/>
      <c r="H22" s="105"/>
      <c r="I22" s="105"/>
      <c r="J22" s="105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</row>
    <row r="23" spans="1:21">
      <c r="A23" s="101">
        <v>45627</v>
      </c>
      <c r="B23" s="1">
        <v>2024</v>
      </c>
      <c r="C23" s="106"/>
      <c r="D23" s="107"/>
      <c r="E23" s="107"/>
      <c r="F23" s="107"/>
      <c r="G23" s="107"/>
      <c r="H23" s="107"/>
      <c r="I23" s="107"/>
      <c r="J23" s="107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</row>
    <row r="24" spans="1:21">
      <c r="K24" s="26"/>
    </row>
    <row r="25" spans="1:21">
      <c r="K25" s="26"/>
    </row>
    <row r="26" spans="1:21">
      <c r="K26" s="26"/>
    </row>
    <row r="27" spans="1:21">
      <c r="K27" s="26"/>
    </row>
    <row r="28" spans="1:21">
      <c r="K28" s="26"/>
    </row>
    <row r="29" spans="1:21">
      <c r="K29" s="26"/>
    </row>
    <row r="30" spans="1:21">
      <c r="K30" s="26"/>
    </row>
    <row r="31" spans="1:21">
      <c r="K31" s="26"/>
    </row>
    <row r="32" spans="1:21">
      <c r="K32" s="26"/>
    </row>
    <row r="33" spans="11:11">
      <c r="K33" s="26"/>
    </row>
    <row r="34" spans="11:11">
      <c r="K34" s="26"/>
    </row>
    <row r="35" spans="11:11">
      <c r="K35" s="26"/>
    </row>
  </sheetData>
  <mergeCells count="6">
    <mergeCell ref="D7:I7"/>
    <mergeCell ref="J7:M7"/>
    <mergeCell ref="N7:U7"/>
    <mergeCell ref="A9:A10"/>
    <mergeCell ref="B9:B10"/>
    <mergeCell ref="C9:C10"/>
  </mergeCells>
  <dataValidations count="1">
    <dataValidation type="list" allowBlank="1" showInputMessage="1" showErrorMessage="1" sqref="D11:M11 E9:Y9">
      <formula1>#REF!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zoomScaleNormal="100" workbookViewId="0">
      <selection activeCell="E35" sqref="E35"/>
    </sheetView>
  </sheetViews>
  <sheetFormatPr baseColWidth="10" defaultColWidth="11.44140625" defaultRowHeight="13.8"/>
  <cols>
    <col min="1" max="1" width="23.6640625" style="26" customWidth="1"/>
    <col min="2" max="2" width="10.33203125" style="26" customWidth="1"/>
    <col min="3" max="3" width="32.6640625" style="26" customWidth="1"/>
    <col min="4" max="4" width="21.33203125" style="26" customWidth="1"/>
    <col min="5" max="7" width="12.5546875" style="26" customWidth="1"/>
    <col min="8" max="8" width="15.5546875" style="26" bestFit="1" customWidth="1"/>
    <col min="9" max="10" width="12.5546875" style="26" customWidth="1"/>
    <col min="11" max="11" width="12.5546875" style="13" customWidth="1"/>
    <col min="12" max="13" width="12.5546875" style="26" customWidth="1"/>
    <col min="14" max="16384" width="11.44140625" style="26"/>
  </cols>
  <sheetData>
    <row r="1" spans="1:21" ht="20.25" customHeight="1">
      <c r="A1" s="34" t="s">
        <v>199</v>
      </c>
      <c r="K1" s="26"/>
    </row>
    <row r="2" spans="1:21" ht="15.75" customHeight="1">
      <c r="K2" s="26"/>
    </row>
    <row r="3" spans="1:21">
      <c r="K3" s="26"/>
    </row>
    <row r="4" spans="1:21" ht="80.25" customHeight="1">
      <c r="K4" s="26"/>
    </row>
    <row r="5" spans="1:21">
      <c r="K5" s="26"/>
    </row>
    <row r="6" spans="1:21" ht="17.25" customHeight="1">
      <c r="K6" s="26"/>
    </row>
    <row r="7" spans="1:21" ht="36" customHeight="1">
      <c r="A7" s="99" t="s">
        <v>334</v>
      </c>
      <c r="B7" s="1"/>
      <c r="D7" s="411" t="s">
        <v>207</v>
      </c>
      <c r="E7" s="414"/>
      <c r="F7" s="414"/>
      <c r="G7" s="414"/>
      <c r="H7" s="414"/>
      <c r="I7" s="415"/>
      <c r="J7" s="412" t="s">
        <v>172</v>
      </c>
      <c r="K7" s="412"/>
      <c r="L7" s="412"/>
      <c r="M7" s="413"/>
      <c r="N7" s="411" t="s">
        <v>197</v>
      </c>
      <c r="O7" s="412"/>
      <c r="P7" s="412"/>
      <c r="Q7" s="412"/>
      <c r="R7" s="412"/>
      <c r="S7" s="412"/>
      <c r="T7" s="412"/>
      <c r="U7" s="413"/>
    </row>
    <row r="8" spans="1:21" ht="15" customHeight="1">
      <c r="A8" s="99" t="s">
        <v>16</v>
      </c>
      <c r="B8" s="1">
        <v>2024</v>
      </c>
      <c r="D8" s="100" t="str">
        <f>IFERROR(AVERAGE(T324_CaractBruta2630[Sólidos en suspensión]),"")</f>
        <v/>
      </c>
      <c r="E8" s="100" t="str">
        <f>IFERROR(AVERAGE(T324_CaractBruta2630[Escherichia coli]),"")</f>
        <v/>
      </c>
      <c r="F8" s="100" t="str">
        <f>IFERROR(AVERAGE(T324_CaractBruta2630[Turbidez in situ]),"")</f>
        <v/>
      </c>
      <c r="G8" s="100"/>
      <c r="H8" s="100" t="str">
        <f>IFERROR(AVERAGE(T324_CaractBruta2630[Legionella]),"")</f>
        <v/>
      </c>
      <c r="I8" s="100" t="str">
        <f>IFERROR(AVERAGE(T324_CaractBruta2630[Nematodos intestinales]),"")</f>
        <v/>
      </c>
      <c r="J8" s="100"/>
      <c r="K8" s="100" t="str">
        <f>IFERROR(AVERAGE(T324_CaractBruta2630[DQO]),"")</f>
        <v/>
      </c>
      <c r="L8" s="100"/>
      <c r="M8" s="100"/>
      <c r="N8" s="100" t="str">
        <f>IFERROR(AVERAGE(T324_CaractBruta2630[Columna1]),"")</f>
        <v/>
      </c>
      <c r="O8" s="100" t="str">
        <f>IFERROR(AVERAGE(T324_CaractBruta2630[Columna2]),"")</f>
        <v/>
      </c>
      <c r="P8" s="100" t="str">
        <f>IFERROR(AVERAGE(T324_CaractBruta2630[Columna3]),"")</f>
        <v/>
      </c>
      <c r="Q8" s="100" t="str">
        <f>IFERROR(AVERAGE(T324_CaractBruta2630[Columna4]),"")</f>
        <v/>
      </c>
      <c r="R8" s="100" t="str">
        <f>IFERROR(AVERAGE(T324_CaractBruta2630[Columna5]),"")</f>
        <v/>
      </c>
      <c r="S8" s="100" t="str">
        <f>IFERROR(AVERAGE(T324_CaractBruta2630[Columna6]),"")</f>
        <v/>
      </c>
      <c r="T8" s="100" t="str">
        <f>IFERROR(AVERAGE(T324_CaractBruta2630[Columna7]),"")</f>
        <v/>
      </c>
      <c r="U8" s="100" t="str">
        <f>IFERROR(AVERAGE(T324_CaractBruta2630[Columna8]),"")</f>
        <v/>
      </c>
    </row>
    <row r="9" spans="1:21" ht="30" customHeight="1">
      <c r="A9" s="409" t="s">
        <v>202</v>
      </c>
      <c r="B9" s="407" t="s">
        <v>10</v>
      </c>
      <c r="C9" s="407" t="s">
        <v>186</v>
      </c>
      <c r="D9" s="162" t="s">
        <v>153</v>
      </c>
      <c r="E9" s="162" t="s">
        <v>193</v>
      </c>
      <c r="F9" s="162" t="s">
        <v>163</v>
      </c>
      <c r="G9" s="162" t="s">
        <v>157</v>
      </c>
      <c r="H9" s="162" t="s">
        <v>148</v>
      </c>
      <c r="I9" s="162" t="s">
        <v>85</v>
      </c>
      <c r="J9" s="162" t="s">
        <v>82</v>
      </c>
      <c r="K9" s="162" t="s">
        <v>152</v>
      </c>
      <c r="L9" s="162" t="s">
        <v>159</v>
      </c>
      <c r="M9" s="162" t="s">
        <v>154</v>
      </c>
      <c r="N9" s="163"/>
      <c r="O9" s="163"/>
      <c r="P9" s="163"/>
      <c r="Q9" s="163"/>
      <c r="R9" s="163"/>
      <c r="S9" s="163"/>
      <c r="T9" s="163"/>
      <c r="U9" s="163"/>
    </row>
    <row r="10" spans="1:21" ht="18" customHeight="1">
      <c r="A10" s="410"/>
      <c r="B10" s="408"/>
      <c r="C10" s="408"/>
      <c r="D10" s="162" t="s">
        <v>150</v>
      </c>
      <c r="E10" s="162" t="s">
        <v>164</v>
      </c>
      <c r="F10" s="162" t="s">
        <v>128</v>
      </c>
      <c r="G10" s="162" t="s">
        <v>158</v>
      </c>
      <c r="H10" s="162" t="s">
        <v>226</v>
      </c>
      <c r="I10" s="162" t="s">
        <v>156</v>
      </c>
      <c r="J10" s="162" t="s">
        <v>151</v>
      </c>
      <c r="K10" s="162" t="s">
        <v>151</v>
      </c>
      <c r="L10" s="162" t="s">
        <v>160</v>
      </c>
      <c r="M10" s="162" t="s">
        <v>155</v>
      </c>
      <c r="N10" s="162" t="str">
        <f>IFERROR(VLOOKUP(N9,#REF!,2,FALSE),"-")</f>
        <v>-</v>
      </c>
      <c r="O10" s="162" t="str">
        <f>IFERROR(VLOOKUP(O9,#REF!,2,FALSE),"-")</f>
        <v>-</v>
      </c>
      <c r="P10" s="162" t="str">
        <f>IFERROR(VLOOKUP(P9,#REF!,2,FALSE),"-")</f>
        <v>-</v>
      </c>
      <c r="Q10" s="162" t="str">
        <f>IFERROR(VLOOKUP(Q9,#REF!,2,FALSE),"-")</f>
        <v>-</v>
      </c>
      <c r="R10" s="162" t="str">
        <f>IFERROR(VLOOKUP(R9,#REF!,2,FALSE),"-")</f>
        <v>-</v>
      </c>
      <c r="S10" s="162" t="str">
        <f>IFERROR(VLOOKUP(S9,#REF!,2,FALSE),"-")</f>
        <v>-</v>
      </c>
      <c r="T10" s="162" t="str">
        <f>IFERROR(VLOOKUP(T9,#REF!,2,FALSE),"-")</f>
        <v>-</v>
      </c>
      <c r="U10" s="162" t="str">
        <f>IFERROR(VLOOKUP(U9,#REF!,2,FALSE),"-")</f>
        <v>-</v>
      </c>
    </row>
    <row r="11" spans="1:21" ht="41.4" hidden="1">
      <c r="A11" s="130" t="s">
        <v>0</v>
      </c>
      <c r="B11" s="151" t="s">
        <v>10</v>
      </c>
      <c r="C11" s="152" t="s">
        <v>186</v>
      </c>
      <c r="D11" s="151" t="s">
        <v>163</v>
      </c>
      <c r="E11" s="151" t="s">
        <v>153</v>
      </c>
      <c r="F11" s="151" t="s">
        <v>193</v>
      </c>
      <c r="G11" s="151" t="s">
        <v>206</v>
      </c>
      <c r="H11" s="151" t="s">
        <v>85</v>
      </c>
      <c r="I11" s="151" t="s">
        <v>157</v>
      </c>
      <c r="J11" s="151" t="s">
        <v>205</v>
      </c>
      <c r="K11" s="151" t="s">
        <v>152</v>
      </c>
      <c r="L11" s="151" t="s">
        <v>159</v>
      </c>
      <c r="M11" s="151" t="s">
        <v>154</v>
      </c>
      <c r="N11" s="160" t="s">
        <v>188</v>
      </c>
      <c r="O11" s="160" t="s">
        <v>189</v>
      </c>
      <c r="P11" s="160" t="s">
        <v>190</v>
      </c>
      <c r="Q11" s="160" t="s">
        <v>191</v>
      </c>
      <c r="R11" s="160" t="s">
        <v>192</v>
      </c>
      <c r="S11" s="160" t="s">
        <v>194</v>
      </c>
      <c r="T11" s="160" t="s">
        <v>195</v>
      </c>
      <c r="U11" s="160" t="s">
        <v>196</v>
      </c>
    </row>
    <row r="12" spans="1:21" ht="15" customHeight="1">
      <c r="A12" s="101">
        <v>45292</v>
      </c>
      <c r="B12" s="1">
        <v>2024</v>
      </c>
      <c r="C12" s="102"/>
      <c r="D12" s="103"/>
      <c r="E12" s="103"/>
      <c r="F12" s="103"/>
      <c r="G12" s="103"/>
      <c r="H12" s="103"/>
      <c r="I12" s="161"/>
      <c r="J12" s="161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</row>
    <row r="13" spans="1:21">
      <c r="A13" s="101">
        <v>45323</v>
      </c>
      <c r="B13" s="1">
        <v>2024</v>
      </c>
      <c r="C13" s="104"/>
      <c r="D13" s="103"/>
      <c r="E13" s="103"/>
      <c r="F13" s="103"/>
      <c r="G13" s="103"/>
      <c r="H13" s="103"/>
      <c r="I13" s="103"/>
      <c r="J13" s="103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</row>
    <row r="14" spans="1:21">
      <c r="A14" s="101">
        <v>45352</v>
      </c>
      <c r="B14" s="1">
        <v>2024</v>
      </c>
      <c r="C14" s="104"/>
      <c r="D14" s="103"/>
      <c r="E14" s="103"/>
      <c r="F14" s="103"/>
      <c r="G14" s="103"/>
      <c r="H14" s="103"/>
      <c r="I14" s="103"/>
      <c r="J14" s="103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</row>
    <row r="15" spans="1:21">
      <c r="A15" s="101">
        <v>45383</v>
      </c>
      <c r="B15" s="1">
        <v>2024</v>
      </c>
      <c r="C15" s="104"/>
      <c r="D15" s="103"/>
      <c r="E15" s="103"/>
      <c r="F15" s="103"/>
      <c r="G15" s="103"/>
      <c r="H15" s="103"/>
      <c r="I15" s="103"/>
      <c r="J15" s="103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</row>
    <row r="16" spans="1:21">
      <c r="A16" s="101">
        <v>45413</v>
      </c>
      <c r="B16" s="1">
        <v>2024</v>
      </c>
      <c r="C16" s="104"/>
      <c r="D16" s="105"/>
      <c r="E16" s="105"/>
      <c r="F16" s="105"/>
      <c r="G16" s="105"/>
      <c r="H16" s="105"/>
      <c r="I16" s="105"/>
      <c r="J16" s="105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</row>
    <row r="17" spans="1:21">
      <c r="A17" s="101">
        <v>45444</v>
      </c>
      <c r="B17" s="1">
        <v>2024</v>
      </c>
      <c r="C17" s="104"/>
      <c r="D17" s="105"/>
      <c r="E17" s="105"/>
      <c r="F17" s="105"/>
      <c r="G17" s="105"/>
      <c r="H17" s="105"/>
      <c r="I17" s="105"/>
      <c r="J17" s="200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</row>
    <row r="18" spans="1:21">
      <c r="A18" s="101">
        <v>45474</v>
      </c>
      <c r="B18" s="1">
        <v>2024</v>
      </c>
      <c r="C18" s="104"/>
      <c r="D18" s="105"/>
      <c r="E18" s="105"/>
      <c r="F18" s="105"/>
      <c r="G18" s="105"/>
      <c r="H18" s="105"/>
      <c r="I18" s="105"/>
      <c r="J18" s="105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</row>
    <row r="19" spans="1:21">
      <c r="A19" s="101">
        <v>45505</v>
      </c>
      <c r="B19" s="1">
        <v>2024</v>
      </c>
      <c r="C19" s="104"/>
      <c r="D19" s="105"/>
      <c r="E19" s="105"/>
      <c r="F19" s="105"/>
      <c r="G19" s="105"/>
      <c r="H19" s="105"/>
      <c r="I19" s="105"/>
      <c r="J19" s="105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</row>
    <row r="20" spans="1:21">
      <c r="A20" s="101">
        <v>45536</v>
      </c>
      <c r="B20" s="1">
        <v>2024</v>
      </c>
      <c r="C20" s="104"/>
      <c r="D20" s="105"/>
      <c r="E20" s="105"/>
      <c r="F20" s="105"/>
      <c r="G20" s="105"/>
      <c r="H20" s="105"/>
      <c r="I20" s="105"/>
      <c r="J20" s="105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</row>
    <row r="21" spans="1:21">
      <c r="A21" s="101">
        <v>45566</v>
      </c>
      <c r="B21" s="1">
        <v>2024</v>
      </c>
      <c r="C21" s="104"/>
      <c r="D21" s="105"/>
      <c r="E21" s="105"/>
      <c r="F21" s="105"/>
      <c r="G21" s="105"/>
      <c r="H21" s="105"/>
      <c r="I21" s="105"/>
      <c r="J21" s="200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</row>
    <row r="22" spans="1:21">
      <c r="A22" s="101">
        <v>45597</v>
      </c>
      <c r="B22" s="1">
        <v>2024</v>
      </c>
      <c r="C22" s="104"/>
      <c r="D22" s="105"/>
      <c r="E22" s="105"/>
      <c r="F22" s="105"/>
      <c r="G22" s="105"/>
      <c r="H22" s="105"/>
      <c r="I22" s="105"/>
      <c r="J22" s="105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</row>
    <row r="23" spans="1:21">
      <c r="A23" s="101">
        <v>45627</v>
      </c>
      <c r="B23" s="1">
        <v>2024</v>
      </c>
      <c r="C23" s="106"/>
      <c r="D23" s="107"/>
      <c r="E23" s="107"/>
      <c r="F23" s="107"/>
      <c r="G23" s="107"/>
      <c r="H23" s="107"/>
      <c r="I23" s="107"/>
      <c r="J23" s="107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</row>
    <row r="24" spans="1:21">
      <c r="K24" s="26"/>
    </row>
    <row r="25" spans="1:21">
      <c r="K25" s="26"/>
    </row>
    <row r="26" spans="1:21">
      <c r="K26" s="26"/>
    </row>
    <row r="27" spans="1:21">
      <c r="K27" s="26"/>
    </row>
    <row r="28" spans="1:21">
      <c r="K28" s="26"/>
    </row>
    <row r="29" spans="1:21">
      <c r="K29" s="26"/>
    </row>
    <row r="30" spans="1:21">
      <c r="K30" s="26"/>
    </row>
    <row r="31" spans="1:21">
      <c r="K31" s="26"/>
    </row>
    <row r="32" spans="1:21">
      <c r="K32" s="26"/>
    </row>
    <row r="33" spans="11:11">
      <c r="K33" s="26"/>
    </row>
    <row r="34" spans="11:11">
      <c r="K34" s="26"/>
    </row>
    <row r="35" spans="11:11">
      <c r="K35" s="26"/>
    </row>
  </sheetData>
  <mergeCells count="6">
    <mergeCell ref="D7:I7"/>
    <mergeCell ref="J7:M7"/>
    <mergeCell ref="N7:U7"/>
    <mergeCell ref="A9:A10"/>
    <mergeCell ref="B9:B10"/>
    <mergeCell ref="C9:C10"/>
  </mergeCells>
  <dataValidations count="1">
    <dataValidation type="list" allowBlank="1" showInputMessage="1" showErrorMessage="1" sqref="D11:M11 E9:Y9">
      <formula1>#REF!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zoomScaleNormal="100" workbookViewId="0">
      <selection activeCell="F38" sqref="F38"/>
    </sheetView>
  </sheetViews>
  <sheetFormatPr baseColWidth="10" defaultColWidth="11.44140625" defaultRowHeight="13.8"/>
  <cols>
    <col min="1" max="1" width="23.6640625" style="26" customWidth="1"/>
    <col min="2" max="2" width="10.33203125" style="26" customWidth="1"/>
    <col min="3" max="3" width="32.6640625" style="26" customWidth="1"/>
    <col min="4" max="4" width="21.33203125" style="26" customWidth="1"/>
    <col min="5" max="10" width="12.5546875" style="26" customWidth="1"/>
    <col min="11" max="11" width="12.5546875" style="13" customWidth="1"/>
    <col min="12" max="13" width="12.5546875" style="26" customWidth="1"/>
    <col min="14" max="16384" width="11.44140625" style="26"/>
  </cols>
  <sheetData>
    <row r="1" spans="1:21" ht="20.25" customHeight="1">
      <c r="A1" s="34" t="s">
        <v>337</v>
      </c>
      <c r="K1" s="26"/>
    </row>
    <row r="2" spans="1:21" ht="15.75" customHeight="1">
      <c r="K2" s="26"/>
    </row>
    <row r="3" spans="1:21">
      <c r="K3" s="26"/>
    </row>
    <row r="4" spans="1:21" ht="80.25" customHeight="1">
      <c r="K4" s="26"/>
    </row>
    <row r="5" spans="1:21">
      <c r="K5" s="26"/>
    </row>
    <row r="6" spans="1:21" ht="17.25" customHeight="1">
      <c r="K6" s="26"/>
    </row>
    <row r="7" spans="1:21" ht="36" customHeight="1">
      <c r="A7" s="99" t="s">
        <v>336</v>
      </c>
      <c r="B7" s="1"/>
      <c r="D7" s="411" t="s">
        <v>207</v>
      </c>
      <c r="E7" s="414"/>
      <c r="F7" s="414"/>
      <c r="G7" s="414"/>
      <c r="H7" s="414"/>
      <c r="I7" s="415"/>
      <c r="J7" s="412" t="s">
        <v>172</v>
      </c>
      <c r="K7" s="412"/>
      <c r="L7" s="412"/>
      <c r="M7" s="413"/>
      <c r="N7" s="411" t="s">
        <v>197</v>
      </c>
      <c r="O7" s="412"/>
      <c r="P7" s="412"/>
      <c r="Q7" s="412"/>
      <c r="R7" s="412"/>
      <c r="S7" s="412"/>
      <c r="T7" s="412"/>
      <c r="U7" s="413"/>
    </row>
    <row r="8" spans="1:21" ht="15" customHeight="1">
      <c r="A8" s="99" t="s">
        <v>16</v>
      </c>
      <c r="B8" s="1">
        <v>2024</v>
      </c>
      <c r="D8" s="100" t="str">
        <f>IFERROR(AVERAGE(T324_CaractBruta263031[Sólidos en suspensión]),"")</f>
        <v/>
      </c>
      <c r="E8" s="100" t="str">
        <f>IFERROR(AVERAGE(T324_CaractBruta263031[Escherichia coli]),"")</f>
        <v/>
      </c>
      <c r="F8" s="100" t="str">
        <f>IFERROR(AVERAGE(T324_CaractBruta263031[Turbidez in situ]),"")</f>
        <v/>
      </c>
      <c r="G8" s="100"/>
      <c r="H8" s="100" t="str">
        <f>IFERROR(AVERAGE(T324_CaractBruta263031[Legionella]),"")</f>
        <v/>
      </c>
      <c r="I8" s="100" t="str">
        <f>IFERROR(AVERAGE(T324_CaractBruta263031[Nematodos intestinales]),"")</f>
        <v/>
      </c>
      <c r="J8" s="100"/>
      <c r="K8" s="100" t="str">
        <f>IFERROR(AVERAGE(T324_CaractBruta263031[DQO]),"")</f>
        <v/>
      </c>
      <c r="L8" s="100" t="str">
        <f>IFERROR(AVERAGE(T324_CaractBruta263031[Nitrógeno total]),"")</f>
        <v/>
      </c>
      <c r="M8" s="100" t="str">
        <f>IFERROR(AVERAGE(T324_CaractBruta263031[Fósforo total]),"")</f>
        <v/>
      </c>
      <c r="N8" s="100" t="str">
        <f>IFERROR(AVERAGE(T324_CaractBruta263031[Columna1]),"")</f>
        <v/>
      </c>
      <c r="O8" s="100" t="str">
        <f>IFERROR(AVERAGE(T324_CaractBruta263031[Columna2]),"")</f>
        <v/>
      </c>
      <c r="P8" s="100" t="str">
        <f>IFERROR(AVERAGE(T324_CaractBruta263031[Columna3]),"")</f>
        <v/>
      </c>
      <c r="Q8" s="100" t="str">
        <f>IFERROR(AVERAGE(T324_CaractBruta263031[Columna4]),"")</f>
        <v/>
      </c>
      <c r="R8" s="100" t="str">
        <f>IFERROR(AVERAGE(T324_CaractBruta263031[Columna5]),"")</f>
        <v/>
      </c>
      <c r="S8" s="100" t="str">
        <f>IFERROR(AVERAGE(T324_CaractBruta263031[Columna6]),"")</f>
        <v/>
      </c>
      <c r="T8" s="100" t="str">
        <f>IFERROR(AVERAGE(T324_CaractBruta263031[Columna7]),"")</f>
        <v/>
      </c>
      <c r="U8" s="100" t="str">
        <f>IFERROR(AVERAGE(T324_CaractBruta263031[Columna8]),"")</f>
        <v/>
      </c>
    </row>
    <row r="9" spans="1:21" ht="30" customHeight="1">
      <c r="A9" s="409" t="s">
        <v>202</v>
      </c>
      <c r="B9" s="407" t="s">
        <v>10</v>
      </c>
      <c r="C9" s="407" t="s">
        <v>186</v>
      </c>
      <c r="D9" s="162" t="s">
        <v>153</v>
      </c>
      <c r="E9" s="162" t="s">
        <v>193</v>
      </c>
      <c r="F9" s="162" t="s">
        <v>163</v>
      </c>
      <c r="G9" s="162" t="s">
        <v>157</v>
      </c>
      <c r="H9" s="162" t="s">
        <v>148</v>
      </c>
      <c r="I9" s="162" t="s">
        <v>85</v>
      </c>
      <c r="J9" s="162" t="s">
        <v>82</v>
      </c>
      <c r="K9" s="162" t="s">
        <v>152</v>
      </c>
      <c r="L9" s="162" t="s">
        <v>159</v>
      </c>
      <c r="M9" s="162" t="s">
        <v>154</v>
      </c>
      <c r="N9" s="163"/>
      <c r="O9" s="163"/>
      <c r="P9" s="163"/>
      <c r="Q9" s="163"/>
      <c r="R9" s="163"/>
      <c r="S9" s="163"/>
      <c r="T9" s="163"/>
      <c r="U9" s="163"/>
    </row>
    <row r="10" spans="1:21" ht="18" customHeight="1">
      <c r="A10" s="410"/>
      <c r="B10" s="408"/>
      <c r="C10" s="408"/>
      <c r="D10" s="162" t="s">
        <v>150</v>
      </c>
      <c r="E10" s="162" t="s">
        <v>164</v>
      </c>
      <c r="F10" s="162" t="s">
        <v>128</v>
      </c>
      <c r="G10" s="162" t="s">
        <v>158</v>
      </c>
      <c r="H10" s="162" t="s">
        <v>226</v>
      </c>
      <c r="I10" s="162" t="s">
        <v>156</v>
      </c>
      <c r="J10" s="162" t="s">
        <v>151</v>
      </c>
      <c r="K10" s="162" t="s">
        <v>151</v>
      </c>
      <c r="L10" s="162" t="s">
        <v>160</v>
      </c>
      <c r="M10" s="162" t="s">
        <v>155</v>
      </c>
      <c r="N10" s="162" t="str">
        <f>IFERROR(VLOOKUP(N9,#REF!,2,FALSE),"-")</f>
        <v>-</v>
      </c>
      <c r="O10" s="162" t="str">
        <f>IFERROR(VLOOKUP(O9,#REF!,2,FALSE),"-")</f>
        <v>-</v>
      </c>
      <c r="P10" s="162" t="str">
        <f>IFERROR(VLOOKUP(P9,#REF!,2,FALSE),"-")</f>
        <v>-</v>
      </c>
      <c r="Q10" s="162" t="str">
        <f>IFERROR(VLOOKUP(Q9,#REF!,2,FALSE),"-")</f>
        <v>-</v>
      </c>
      <c r="R10" s="162" t="str">
        <f>IFERROR(VLOOKUP(R9,#REF!,2,FALSE),"-")</f>
        <v>-</v>
      </c>
      <c r="S10" s="162" t="str">
        <f>IFERROR(VLOOKUP(S9,#REF!,2,FALSE),"-")</f>
        <v>-</v>
      </c>
      <c r="T10" s="162" t="str">
        <f>IFERROR(VLOOKUP(T9,#REF!,2,FALSE),"-")</f>
        <v>-</v>
      </c>
      <c r="U10" s="162" t="str">
        <f>IFERROR(VLOOKUP(U9,#REF!,2,FALSE),"-")</f>
        <v>-</v>
      </c>
    </row>
    <row r="11" spans="1:21" ht="41.4" hidden="1">
      <c r="A11" s="130" t="s">
        <v>0</v>
      </c>
      <c r="B11" s="151" t="s">
        <v>10</v>
      </c>
      <c r="C11" s="152" t="s">
        <v>186</v>
      </c>
      <c r="D11" s="151" t="s">
        <v>163</v>
      </c>
      <c r="E11" s="151" t="s">
        <v>153</v>
      </c>
      <c r="F11" s="151" t="s">
        <v>193</v>
      </c>
      <c r="G11" s="151" t="s">
        <v>206</v>
      </c>
      <c r="H11" s="151" t="s">
        <v>85</v>
      </c>
      <c r="I11" s="151" t="s">
        <v>157</v>
      </c>
      <c r="J11" s="151" t="s">
        <v>205</v>
      </c>
      <c r="K11" s="151" t="s">
        <v>152</v>
      </c>
      <c r="L11" s="151" t="s">
        <v>159</v>
      </c>
      <c r="M11" s="151" t="s">
        <v>154</v>
      </c>
      <c r="N11" s="160" t="s">
        <v>188</v>
      </c>
      <c r="O11" s="160" t="s">
        <v>189</v>
      </c>
      <c r="P11" s="160" t="s">
        <v>190</v>
      </c>
      <c r="Q11" s="160" t="s">
        <v>191</v>
      </c>
      <c r="R11" s="160" t="s">
        <v>192</v>
      </c>
      <c r="S11" s="160" t="s">
        <v>194</v>
      </c>
      <c r="T11" s="160" t="s">
        <v>195</v>
      </c>
      <c r="U11" s="160" t="s">
        <v>196</v>
      </c>
    </row>
    <row r="12" spans="1:21" ht="15" customHeight="1">
      <c r="A12" s="101">
        <v>45292</v>
      </c>
      <c r="B12" s="1">
        <v>2024</v>
      </c>
      <c r="C12" s="102"/>
      <c r="D12" s="103"/>
      <c r="E12" s="103"/>
      <c r="F12" s="103"/>
      <c r="G12" s="103"/>
      <c r="H12" s="103"/>
      <c r="I12" s="161"/>
      <c r="J12" s="161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</row>
    <row r="13" spans="1:21">
      <c r="A13" s="101">
        <v>45323</v>
      </c>
      <c r="B13" s="1">
        <v>2024</v>
      </c>
      <c r="C13" s="104"/>
      <c r="D13" s="103"/>
      <c r="E13" s="103"/>
      <c r="F13" s="103"/>
      <c r="G13" s="103"/>
      <c r="H13" s="103"/>
      <c r="I13" s="103"/>
      <c r="J13" s="103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</row>
    <row r="14" spans="1:21">
      <c r="A14" s="101">
        <v>45352</v>
      </c>
      <c r="B14" s="1">
        <v>2024</v>
      </c>
      <c r="C14" s="104"/>
      <c r="D14" s="103"/>
      <c r="E14" s="103"/>
      <c r="F14" s="103"/>
      <c r="G14" s="103"/>
      <c r="H14" s="103"/>
      <c r="I14" s="103"/>
      <c r="J14" s="103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</row>
    <row r="15" spans="1:21">
      <c r="A15" s="101">
        <v>45383</v>
      </c>
      <c r="B15" s="1">
        <v>2024</v>
      </c>
      <c r="C15" s="104"/>
      <c r="D15" s="103"/>
      <c r="E15" s="103"/>
      <c r="F15" s="103"/>
      <c r="G15" s="103"/>
      <c r="H15" s="103"/>
      <c r="I15" s="103"/>
      <c r="J15" s="103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</row>
    <row r="16" spans="1:21">
      <c r="A16" s="101">
        <v>45413</v>
      </c>
      <c r="B16" s="1">
        <v>2024</v>
      </c>
      <c r="C16" s="104"/>
      <c r="D16" s="103"/>
      <c r="E16" s="105"/>
      <c r="F16" s="103"/>
      <c r="G16" s="105"/>
      <c r="H16" s="105"/>
      <c r="I16" s="105"/>
      <c r="J16" s="105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</row>
    <row r="17" spans="1:21">
      <c r="A17" s="101">
        <v>45444</v>
      </c>
      <c r="B17" s="1">
        <v>2024</v>
      </c>
      <c r="C17" s="104"/>
      <c r="D17" s="103"/>
      <c r="E17" s="105"/>
      <c r="F17" s="103"/>
      <c r="G17" s="105"/>
      <c r="H17" s="105"/>
      <c r="I17" s="105"/>
      <c r="J17" s="105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</row>
    <row r="18" spans="1:21">
      <c r="A18" s="101">
        <v>45474</v>
      </c>
      <c r="B18" s="1">
        <v>2024</v>
      </c>
      <c r="C18" s="104"/>
      <c r="D18" s="103"/>
      <c r="E18" s="105"/>
      <c r="F18" s="103"/>
      <c r="G18" s="105"/>
      <c r="H18" s="105"/>
      <c r="I18" s="105"/>
      <c r="J18" s="105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</row>
    <row r="19" spans="1:21">
      <c r="A19" s="101">
        <v>45505</v>
      </c>
      <c r="B19" s="1">
        <v>2024</v>
      </c>
      <c r="C19" s="104"/>
      <c r="D19" s="103"/>
      <c r="E19" s="105"/>
      <c r="F19" s="103"/>
      <c r="G19" s="105"/>
      <c r="H19" s="105"/>
      <c r="I19" s="105"/>
      <c r="J19" s="105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</row>
    <row r="20" spans="1:21">
      <c r="A20" s="101">
        <v>45536</v>
      </c>
      <c r="B20" s="1">
        <v>2024</v>
      </c>
      <c r="C20" s="104"/>
      <c r="D20" s="103"/>
      <c r="E20" s="105"/>
      <c r="F20" s="103"/>
      <c r="G20" s="105"/>
      <c r="H20" s="105"/>
      <c r="I20" s="105"/>
      <c r="J20" s="105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</row>
    <row r="21" spans="1:21">
      <c r="A21" s="101">
        <v>45566</v>
      </c>
      <c r="B21" s="1">
        <v>2024</v>
      </c>
      <c r="C21" s="104"/>
      <c r="D21" s="103"/>
      <c r="E21" s="105"/>
      <c r="F21" s="103"/>
      <c r="G21" s="105"/>
      <c r="H21" s="105"/>
      <c r="I21" s="105"/>
      <c r="J21" s="105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</row>
    <row r="22" spans="1:21">
      <c r="A22" s="101">
        <v>45597</v>
      </c>
      <c r="B22" s="1">
        <v>2024</v>
      </c>
      <c r="C22" s="104"/>
      <c r="D22" s="103"/>
      <c r="E22" s="105"/>
      <c r="F22" s="103"/>
      <c r="G22" s="105"/>
      <c r="H22" s="105"/>
      <c r="I22" s="105"/>
      <c r="J22" s="105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</row>
    <row r="23" spans="1:21">
      <c r="A23" s="101">
        <v>45627</v>
      </c>
      <c r="B23" s="1">
        <v>2024</v>
      </c>
      <c r="C23" s="106"/>
      <c r="D23" s="103"/>
      <c r="E23" s="107"/>
      <c r="F23" s="103"/>
      <c r="G23" s="107"/>
      <c r="H23" s="107"/>
      <c r="I23" s="107"/>
      <c r="J23" s="107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</row>
    <row r="24" spans="1:21">
      <c r="K24" s="26"/>
    </row>
    <row r="25" spans="1:21">
      <c r="K25" s="26"/>
    </row>
    <row r="26" spans="1:21">
      <c r="K26" s="26"/>
    </row>
    <row r="27" spans="1:21">
      <c r="K27" s="26"/>
    </row>
    <row r="28" spans="1:21">
      <c r="K28" s="26"/>
    </row>
    <row r="29" spans="1:21">
      <c r="K29" s="26"/>
    </row>
    <row r="30" spans="1:21">
      <c r="K30" s="26"/>
    </row>
    <row r="31" spans="1:21">
      <c r="K31" s="26"/>
    </row>
    <row r="32" spans="1:21">
      <c r="K32" s="26"/>
    </row>
    <row r="33" spans="11:11">
      <c r="K33" s="26"/>
    </row>
    <row r="34" spans="11:11">
      <c r="K34" s="26"/>
    </row>
    <row r="35" spans="11:11">
      <c r="K35" s="26"/>
    </row>
  </sheetData>
  <mergeCells count="6">
    <mergeCell ref="D7:I7"/>
    <mergeCell ref="J7:M7"/>
    <mergeCell ref="N7:U7"/>
    <mergeCell ref="A9:A10"/>
    <mergeCell ref="B9:B10"/>
    <mergeCell ref="C9:C10"/>
  </mergeCells>
  <dataValidations count="1">
    <dataValidation type="list" allowBlank="1" showInputMessage="1" showErrorMessage="1" sqref="D11:M11 E9:Y9">
      <formula1>#REF!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8"/>
  <sheetViews>
    <sheetView zoomScaleNormal="100" workbookViewId="0">
      <selection activeCell="J9" sqref="J9"/>
    </sheetView>
  </sheetViews>
  <sheetFormatPr baseColWidth="10" defaultColWidth="11.44140625" defaultRowHeight="13.8"/>
  <cols>
    <col min="1" max="1" width="28" style="150" customWidth="1"/>
    <col min="2" max="7" width="15.33203125" style="150" customWidth="1"/>
    <col min="8" max="8" width="30.5546875" style="150" customWidth="1"/>
    <col min="9" max="9" width="34" style="150" customWidth="1"/>
    <col min="10" max="10" width="26.33203125" style="26" customWidth="1"/>
    <col min="11" max="11" width="30" style="26" customWidth="1"/>
    <col min="12" max="12" width="17.5546875" style="26" customWidth="1"/>
    <col min="13" max="13" width="21.44140625" style="150" bestFit="1" customWidth="1"/>
    <col min="14" max="14" width="22.5546875" style="26" customWidth="1"/>
    <col min="15" max="15" width="17.5546875" style="26" customWidth="1"/>
    <col min="16" max="16" width="14.6640625" style="26" customWidth="1"/>
    <col min="17" max="17" width="20.44140625" style="26" customWidth="1"/>
    <col min="18" max="18" width="15" style="26" customWidth="1"/>
    <col min="19" max="19" width="16.5546875" style="26" customWidth="1"/>
    <col min="20" max="20" width="17.88671875" style="26" customWidth="1"/>
    <col min="21" max="21" width="23.33203125" style="26" customWidth="1"/>
    <col min="22" max="22" width="16.109375" style="26" customWidth="1"/>
    <col min="23" max="23" width="11.44140625" style="26"/>
    <col min="24" max="24" width="26.33203125" style="26" customWidth="1"/>
    <col min="25" max="16384" width="11.44140625" style="26"/>
  </cols>
  <sheetData>
    <row r="1" spans="1:25" ht="21" customHeight="1">
      <c r="A1" s="34" t="s">
        <v>201</v>
      </c>
      <c r="B1" s="26"/>
      <c r="C1" s="26"/>
      <c r="D1" s="26"/>
      <c r="E1" s="26"/>
      <c r="F1" s="26"/>
      <c r="G1" s="26"/>
      <c r="H1" s="26"/>
      <c r="I1" s="26"/>
      <c r="M1" s="26"/>
    </row>
    <row r="2" spans="1:25" ht="20.399999999999999" customHeight="1">
      <c r="A2" s="34"/>
      <c r="B2" s="26"/>
      <c r="C2" s="26"/>
      <c r="D2" s="26"/>
      <c r="E2" s="26"/>
      <c r="F2" s="26"/>
      <c r="G2" s="26"/>
      <c r="H2" s="26"/>
      <c r="I2" s="26"/>
      <c r="M2" s="26"/>
    </row>
    <row r="3" spans="1:25" ht="23.25" customHeight="1">
      <c r="A3" s="416" t="s">
        <v>169</v>
      </c>
      <c r="B3" s="416"/>
      <c r="C3" s="416"/>
      <c r="D3" s="416"/>
      <c r="E3" s="416"/>
      <c r="F3" s="416"/>
      <c r="G3" s="416"/>
      <c r="H3" s="416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</row>
    <row r="4" spans="1:25">
      <c r="A4" s="134"/>
      <c r="B4" s="417" t="s">
        <v>89</v>
      </c>
      <c r="C4" s="418"/>
      <c r="D4" s="418"/>
      <c r="E4" s="418"/>
      <c r="F4" s="418"/>
      <c r="G4" s="419"/>
      <c r="H4" s="134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</row>
    <row r="5" spans="1:25">
      <c r="A5" s="135" t="s">
        <v>80</v>
      </c>
      <c r="B5" s="136" t="s">
        <v>92</v>
      </c>
      <c r="C5" s="95" t="s">
        <v>85</v>
      </c>
      <c r="D5" s="96" t="s">
        <v>86</v>
      </c>
      <c r="E5" s="137" t="s">
        <v>258</v>
      </c>
      <c r="F5" s="97" t="s">
        <v>83</v>
      </c>
      <c r="G5" s="98" t="s">
        <v>84</v>
      </c>
      <c r="H5" s="20" t="s">
        <v>87</v>
      </c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</row>
    <row r="6" spans="1:25" ht="19.5" customHeight="1">
      <c r="A6" s="138">
        <v>0.9</v>
      </c>
      <c r="B6" s="139"/>
      <c r="C6" s="139"/>
      <c r="D6" s="139"/>
      <c r="E6" s="139"/>
      <c r="F6" s="139"/>
      <c r="G6" s="139"/>
      <c r="H6" s="140" t="s">
        <v>88</v>
      </c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</row>
    <row r="7" spans="1:25" ht="18" customHeight="1">
      <c r="A7" s="141" t="s">
        <v>81</v>
      </c>
      <c r="B7" s="139"/>
      <c r="C7" s="166"/>
      <c r="D7" s="139"/>
      <c r="E7" s="139"/>
      <c r="F7" s="139"/>
      <c r="G7" s="139"/>
      <c r="H7" s="140" t="s">
        <v>88</v>
      </c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spans="1:25">
      <c r="A8" s="142" t="s">
        <v>11</v>
      </c>
      <c r="B8" s="143"/>
      <c r="C8" s="144"/>
      <c r="D8" s="145"/>
      <c r="E8" s="146"/>
      <c r="F8" s="147"/>
      <c r="G8" s="148"/>
      <c r="H8" s="149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</row>
    <row r="9" spans="1:25" ht="28.5" customHeight="1">
      <c r="A9" s="202"/>
      <c r="B9" s="203"/>
      <c r="C9" s="204"/>
      <c r="D9" s="204"/>
      <c r="E9" s="204"/>
      <c r="F9" s="204"/>
      <c r="G9" s="204"/>
      <c r="H9" s="203"/>
      <c r="I9" s="78"/>
      <c r="J9" s="78"/>
      <c r="K9" s="78"/>
      <c r="L9" s="78"/>
      <c r="M9" s="78"/>
      <c r="N9" s="78"/>
      <c r="O9" s="78"/>
      <c r="P9" s="78"/>
      <c r="Q9" s="78"/>
      <c r="R9" s="78"/>
      <c r="T9" s="78"/>
      <c r="U9" s="78"/>
    </row>
    <row r="10" spans="1:25" s="13" customFormat="1" ht="14.4">
      <c r="A10"/>
      <c r="B10"/>
      <c r="C10"/>
      <c r="D10"/>
      <c r="E10"/>
      <c r="F10"/>
    </row>
    <row r="11" spans="1:25" s="13" customFormat="1" ht="14.4">
      <c r="A11"/>
      <c r="B11"/>
      <c r="C11"/>
      <c r="D11"/>
      <c r="E11"/>
      <c r="F11"/>
    </row>
    <row r="12" spans="1:25" s="13" customFormat="1"/>
    <row r="13" spans="1:25" s="13" customFormat="1"/>
    <row r="14" spans="1:25" s="13" customFormat="1"/>
    <row r="15" spans="1:25" s="13" customFormat="1"/>
    <row r="16" spans="1:25" s="13" customFormat="1"/>
    <row r="17" spans="1:25" s="13" customFormat="1"/>
    <row r="18" spans="1:25" s="13" customFormat="1"/>
    <row r="19" spans="1:25" s="13" customFormat="1"/>
    <row r="20" spans="1:25" s="13" customFormat="1"/>
    <row r="21" spans="1:25" s="13" customFormat="1"/>
    <row r="22" spans="1:25" s="13" customFormat="1"/>
    <row r="23" spans="1:25" s="13" customFormat="1"/>
    <row r="24" spans="1:25" s="13" customFormat="1"/>
    <row r="25" spans="1:25" s="13" customFormat="1"/>
    <row r="26" spans="1:25" s="13" customFormat="1"/>
    <row r="27" spans="1:25" s="13" customFormat="1"/>
    <row r="28" spans="1:25" s="13" customFormat="1"/>
    <row r="29" spans="1:25" s="13" customFormat="1"/>
    <row r="30" spans="1:25" s="13" customFormat="1"/>
    <row r="31" spans="1:25" s="13" customFormat="1"/>
    <row r="32" spans="1:25">
      <c r="A32" s="26"/>
      <c r="B32" s="26"/>
      <c r="C32" s="26"/>
      <c r="D32" s="26"/>
      <c r="E32" s="26"/>
      <c r="F32" s="26"/>
      <c r="G32" s="26"/>
      <c r="H32" s="26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</row>
    <row r="33" spans="1:25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</row>
    <row r="34" spans="1:25">
      <c r="A34" s="26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</row>
    <row r="35" spans="1:25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</row>
    <row r="36" spans="1:25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</row>
    <row r="37" spans="1:25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</row>
    <row r="38" spans="1:25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</row>
    <row r="39" spans="1:25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</row>
    <row r="40" spans="1:25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</row>
    <row r="41" spans="1:25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</row>
    <row r="42" spans="1:25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</row>
    <row r="43" spans="1:25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</row>
    <row r="44" spans="1:25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</row>
    <row r="45" spans="1:25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</row>
    <row r="46" spans="1:25">
      <c r="A46" s="26"/>
      <c r="B46" s="26"/>
      <c r="C46" s="26"/>
      <c r="D46" s="26"/>
      <c r="E46" s="26"/>
      <c r="F46" s="26"/>
      <c r="G46" s="26"/>
      <c r="H46" s="26"/>
      <c r="I46" s="26"/>
      <c r="M46" s="26"/>
    </row>
    <row r="47" spans="1:25">
      <c r="A47" s="26"/>
      <c r="B47" s="26"/>
      <c r="C47" s="26"/>
      <c r="D47" s="26"/>
      <c r="E47" s="26"/>
      <c r="F47" s="26"/>
      <c r="G47" s="26"/>
      <c r="H47" s="26"/>
      <c r="I47" s="26"/>
      <c r="M47" s="26"/>
    </row>
    <row r="48" spans="1:25">
      <c r="A48" s="26"/>
      <c r="B48" s="26"/>
      <c r="C48" s="26"/>
      <c r="D48" s="26"/>
      <c r="E48" s="26"/>
      <c r="F48" s="26"/>
      <c r="G48" s="26"/>
      <c r="H48" s="26"/>
      <c r="I48" s="26"/>
      <c r="M48" s="26"/>
    </row>
    <row r="49" s="26" customFormat="1"/>
    <row r="50" s="26" customFormat="1"/>
    <row r="51" s="26" customFormat="1"/>
    <row r="52" s="26" customFormat="1"/>
    <row r="53" s="26" customFormat="1"/>
    <row r="54" s="26" customFormat="1"/>
    <row r="55" s="26" customFormat="1"/>
    <row r="56" s="26" customFormat="1"/>
    <row r="57" s="26" customFormat="1"/>
    <row r="58" s="26" customFormat="1"/>
    <row r="59" s="26" customFormat="1"/>
    <row r="60" s="26" customFormat="1"/>
    <row r="61" s="26" customFormat="1"/>
    <row r="62" s="26" customFormat="1"/>
    <row r="63" s="26" customFormat="1"/>
    <row r="64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</sheetData>
  <mergeCells count="2">
    <mergeCell ref="A3:H3"/>
    <mergeCell ref="B4:G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>
      <selection activeCell="M12" sqref="M12"/>
    </sheetView>
  </sheetViews>
  <sheetFormatPr baseColWidth="10" defaultColWidth="11.44140625" defaultRowHeight="13.8"/>
  <cols>
    <col min="1" max="1" width="11.44140625" style="26"/>
    <col min="2" max="2" width="11.33203125" style="26" customWidth="1"/>
    <col min="3" max="3" width="12.6640625" style="26" customWidth="1"/>
    <col min="4" max="4" width="15.88671875" style="26" customWidth="1"/>
    <col min="5" max="5" width="5.109375" style="26" customWidth="1"/>
    <col min="6" max="6" width="19.6640625" style="26" customWidth="1"/>
    <col min="7" max="7" width="5.88671875" style="26" customWidth="1"/>
    <col min="8" max="16384" width="11.44140625" style="26"/>
  </cols>
  <sheetData>
    <row r="1" spans="1:6" ht="20.25" customHeight="1">
      <c r="A1" s="34" t="s">
        <v>175</v>
      </c>
      <c r="D1" s="114"/>
      <c r="E1" s="114"/>
      <c r="F1" s="114"/>
    </row>
    <row r="2" spans="1:6" ht="15.75" customHeight="1"/>
    <row r="3" spans="1:6">
      <c r="A3" s="34" t="s">
        <v>173</v>
      </c>
    </row>
    <row r="4" spans="1:6" ht="58.5" customHeight="1">
      <c r="A4" s="205" t="s">
        <v>335</v>
      </c>
      <c r="B4" s="130" t="s">
        <v>10</v>
      </c>
      <c r="C4" s="151" t="s">
        <v>200</v>
      </c>
      <c r="D4" s="153" t="s">
        <v>208</v>
      </c>
      <c r="E4" s="128"/>
      <c r="F4" s="128"/>
    </row>
    <row r="5" spans="1:6">
      <c r="A5" s="206"/>
      <c r="B5" s="1">
        <v>2024</v>
      </c>
      <c r="C5" s="154"/>
      <c r="D5" s="154"/>
      <c r="E5" s="129"/>
      <c r="F5" s="129"/>
    </row>
    <row r="6" spans="1:6" ht="17.25" customHeight="1"/>
    <row r="7" spans="1:6" ht="20.25" customHeight="1">
      <c r="A7" s="34" t="s">
        <v>171</v>
      </c>
    </row>
    <row r="8" spans="1:6">
      <c r="A8" s="420" t="s">
        <v>15</v>
      </c>
      <c r="B8" s="421"/>
      <c r="C8" s="100">
        <f>IFERROR(SUM(T326_volReg[Volumen regenerado (m3/año)]),"")</f>
        <v>0</v>
      </c>
      <c r="D8" s="100">
        <f>IFERROR(SUM(T326_volReg[Volumen uso urbano (m³/año)]),"")</f>
        <v>0</v>
      </c>
      <c r="E8" s="108"/>
    </row>
    <row r="9" spans="1:6" ht="43.2">
      <c r="A9" s="130" t="s">
        <v>0</v>
      </c>
      <c r="B9" s="151" t="s">
        <v>10</v>
      </c>
      <c r="C9" s="151" t="s">
        <v>209</v>
      </c>
      <c r="D9" s="152" t="s">
        <v>208</v>
      </c>
      <c r="E9" s="128"/>
      <c r="F9" s="155" t="s">
        <v>106</v>
      </c>
    </row>
    <row r="10" spans="1:6" ht="15" customHeight="1">
      <c r="A10" s="101">
        <v>45292</v>
      </c>
      <c r="B10" s="1">
        <v>2024</v>
      </c>
      <c r="C10" s="109"/>
      <c r="D10" s="109"/>
      <c r="E10" s="156"/>
      <c r="F10" s="110"/>
    </row>
    <row r="11" spans="1:6">
      <c r="A11" s="101">
        <v>45323</v>
      </c>
      <c r="B11" s="1">
        <v>2024</v>
      </c>
      <c r="C11" s="109"/>
      <c r="D11" s="109"/>
      <c r="E11" s="156"/>
      <c r="F11" s="156"/>
    </row>
    <row r="12" spans="1:6">
      <c r="A12" s="101">
        <v>45352</v>
      </c>
      <c r="B12" s="1">
        <v>2024</v>
      </c>
      <c r="C12" s="109"/>
      <c r="D12" s="109"/>
      <c r="E12" s="156"/>
      <c r="F12" s="156"/>
    </row>
    <row r="13" spans="1:6">
      <c r="A13" s="101">
        <v>45383</v>
      </c>
      <c r="B13" s="1">
        <v>2024</v>
      </c>
      <c r="C13" s="109"/>
      <c r="D13" s="109"/>
      <c r="E13" s="156"/>
      <c r="F13" s="156"/>
    </row>
    <row r="14" spans="1:6">
      <c r="A14" s="101">
        <v>45413</v>
      </c>
      <c r="B14" s="1">
        <v>2024</v>
      </c>
      <c r="C14" s="109"/>
      <c r="D14" s="109"/>
      <c r="E14" s="156"/>
      <c r="F14" s="156"/>
    </row>
    <row r="15" spans="1:6">
      <c r="A15" s="101">
        <v>45444</v>
      </c>
      <c r="B15" s="1">
        <v>2024</v>
      </c>
      <c r="C15" s="109"/>
      <c r="D15" s="109"/>
      <c r="E15" s="156"/>
      <c r="F15" s="156"/>
    </row>
    <row r="16" spans="1:6">
      <c r="A16" s="101">
        <v>45474</v>
      </c>
      <c r="B16" s="1">
        <v>2024</v>
      </c>
      <c r="C16" s="109"/>
      <c r="D16" s="109"/>
      <c r="E16" s="156"/>
      <c r="F16" s="156"/>
    </row>
    <row r="17" spans="1:6">
      <c r="A17" s="101">
        <v>45505</v>
      </c>
      <c r="B17" s="1">
        <v>2024</v>
      </c>
      <c r="C17" s="109"/>
      <c r="D17" s="109"/>
      <c r="E17" s="156"/>
      <c r="F17" s="156"/>
    </row>
    <row r="18" spans="1:6">
      <c r="A18" s="101">
        <v>45536</v>
      </c>
      <c r="B18" s="1">
        <v>2024</v>
      </c>
      <c r="C18" s="109"/>
      <c r="D18" s="109"/>
      <c r="E18" s="156"/>
      <c r="F18" s="156"/>
    </row>
    <row r="19" spans="1:6">
      <c r="A19" s="101">
        <v>45566</v>
      </c>
      <c r="B19" s="1">
        <v>2024</v>
      </c>
      <c r="C19" s="109"/>
      <c r="D19" s="109"/>
      <c r="E19" s="156"/>
      <c r="F19" s="156"/>
    </row>
    <row r="20" spans="1:6">
      <c r="A20" s="101">
        <v>45597</v>
      </c>
      <c r="B20" s="1">
        <v>2024</v>
      </c>
      <c r="C20" s="109"/>
      <c r="D20" s="109"/>
      <c r="E20" s="156"/>
      <c r="F20" s="156"/>
    </row>
    <row r="21" spans="1:6">
      <c r="A21" s="101">
        <v>45627</v>
      </c>
      <c r="B21" s="1">
        <v>2024</v>
      </c>
      <c r="C21" s="109"/>
      <c r="D21" s="109"/>
      <c r="E21" s="156"/>
      <c r="F21" s="156"/>
    </row>
  </sheetData>
  <mergeCells count="1">
    <mergeCell ref="A8:B8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K20" sqref="K20"/>
    </sheetView>
  </sheetViews>
  <sheetFormatPr baseColWidth="10" defaultColWidth="11.44140625" defaultRowHeight="13.8"/>
  <cols>
    <col min="1" max="1" width="14.109375" style="3" customWidth="1"/>
    <col min="2" max="2" width="38" style="3" bestFit="1" customWidth="1"/>
    <col min="3" max="3" width="38" style="3" customWidth="1"/>
    <col min="4" max="5" width="12.5546875" style="3" customWidth="1"/>
    <col min="6" max="6" width="35.6640625" style="3" customWidth="1"/>
    <col min="7" max="7" width="24.109375" style="3" customWidth="1"/>
    <col min="8" max="8" width="16.5546875" style="3" customWidth="1"/>
    <col min="9" max="16384" width="11.44140625" style="3"/>
  </cols>
  <sheetData>
    <row r="1" spans="1:8" ht="96" customHeight="1">
      <c r="A1" s="34" t="s">
        <v>17</v>
      </c>
      <c r="B1" s="26"/>
    </row>
    <row r="2" spans="1:8">
      <c r="A2" s="99" t="s">
        <v>334</v>
      </c>
      <c r="B2" s="1"/>
    </row>
    <row r="3" spans="1:8">
      <c r="A3" s="99" t="s">
        <v>336</v>
      </c>
      <c r="B3" s="207"/>
    </row>
    <row r="4" spans="1:8" ht="66" customHeight="1">
      <c r="A4" s="197"/>
      <c r="B4" s="14"/>
      <c r="C4" s="14"/>
      <c r="D4" s="422" t="s">
        <v>70</v>
      </c>
      <c r="E4" s="423"/>
      <c r="F4" s="422" t="s">
        <v>204</v>
      </c>
      <c r="G4" s="423"/>
      <c r="H4" s="172" t="s">
        <v>45</v>
      </c>
    </row>
    <row r="5" spans="1:8" ht="39.75" customHeight="1">
      <c r="A5" s="175" t="s">
        <v>18</v>
      </c>
      <c r="B5" s="176" t="s">
        <v>19</v>
      </c>
      <c r="C5" s="76" t="s">
        <v>183</v>
      </c>
      <c r="D5" s="177" t="s">
        <v>20</v>
      </c>
      <c r="E5" s="178" t="s">
        <v>21</v>
      </c>
      <c r="F5" s="77" t="s">
        <v>23</v>
      </c>
      <c r="G5" s="77" t="s">
        <v>24</v>
      </c>
      <c r="H5" s="179" t="s">
        <v>72</v>
      </c>
    </row>
    <row r="6" spans="1:8">
      <c r="A6" s="6" t="s">
        <v>338</v>
      </c>
      <c r="B6" s="7"/>
      <c r="C6" s="7"/>
      <c r="D6" s="192"/>
      <c r="E6" s="192"/>
      <c r="F6" s="7"/>
      <c r="G6" s="41"/>
      <c r="H6" s="41"/>
    </row>
    <row r="7" spans="1:8">
      <c r="A7" s="6" t="s">
        <v>339</v>
      </c>
      <c r="B7" s="7"/>
      <c r="C7" s="7"/>
      <c r="D7" s="201"/>
      <c r="E7" s="201"/>
      <c r="F7" s="7"/>
      <c r="G7" s="41"/>
      <c r="H7" s="41"/>
    </row>
    <row r="8" spans="1:8">
      <c r="A8" s="6" t="s">
        <v>340</v>
      </c>
      <c r="B8" s="7"/>
      <c r="C8" s="7"/>
      <c r="D8" s="192"/>
      <c r="E8" s="192"/>
      <c r="F8" s="7"/>
      <c r="G8" s="41"/>
      <c r="H8" s="41"/>
    </row>
    <row r="9" spans="1:8">
      <c r="A9" s="6" t="s">
        <v>341</v>
      </c>
      <c r="B9" s="7"/>
      <c r="C9" s="7"/>
      <c r="D9" s="192"/>
      <c r="E9" s="192"/>
      <c r="F9" s="7"/>
      <c r="G9" s="41"/>
      <c r="H9" s="41"/>
    </row>
    <row r="10" spans="1:8">
      <c r="A10" s="6"/>
      <c r="B10" s="7"/>
      <c r="C10" s="7"/>
      <c r="D10" s="192"/>
      <c r="E10" s="192"/>
      <c r="F10" s="7"/>
      <c r="G10" s="41"/>
      <c r="H10" s="41"/>
    </row>
    <row r="11" spans="1:8">
      <c r="A11" s="6"/>
      <c r="B11" s="7"/>
      <c r="C11" s="7"/>
      <c r="D11" s="192"/>
      <c r="E11" s="192"/>
      <c r="F11" s="7"/>
      <c r="G11" s="41"/>
      <c r="H11" s="41"/>
    </row>
    <row r="12" spans="1:8">
      <c r="A12" s="6"/>
      <c r="B12" s="7"/>
      <c r="C12" s="7"/>
      <c r="D12" s="192"/>
      <c r="E12" s="192"/>
      <c r="F12" s="7"/>
      <c r="G12" s="41"/>
      <c r="H12" s="41"/>
    </row>
    <row r="13" spans="1:8">
      <c r="A13" s="6"/>
      <c r="B13" s="7"/>
      <c r="C13" s="7"/>
      <c r="D13" s="192"/>
      <c r="E13" s="192"/>
      <c r="F13" s="7"/>
      <c r="G13" s="41"/>
      <c r="H13" s="41"/>
    </row>
    <row r="55" spans="4:4">
      <c r="D55" s="3">
        <f t="shared" ref="D55" si="0">+D28*1000</f>
        <v>0</v>
      </c>
    </row>
  </sheetData>
  <mergeCells count="2">
    <mergeCell ref="F4:G4"/>
    <mergeCell ref="D4:E4"/>
  </mergeCells>
  <phoneticPr fontId="34" type="noConversion"/>
  <dataValidations count="1">
    <dataValidation type="list" allowBlank="1" showInputMessage="1" showErrorMessage="1" sqref="F6:G13">
      <formula1>ORGANIZACION_ROL</formula1>
    </dataValidation>
  </dataValidations>
  <hyperlinks>
    <hyperlink ref="F4:G4" location="'4.1.ResponsablesContact'!A1" display="'4.1.ResponsablesContact'!A1"/>
  </hyperlink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'3.1.ResponsablesRol'!$A$6:$A$12</xm:f>
          </x14:formula1>
          <xm:sqref>F634:G1048576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2 Y U W f / y W h e l A A A A 9 g A A A B I A H A B D b 2 5 m a W c v U G F j a 2 F n Z S 5 4 b W w g o h g A K K A U A A A A A A A A A A A A A A A A A A A A A A A A A A A A h Y 8 x D o I w G I W v Q r r T l h K j I T 9 l M G 6 S m J A Y 1 6 Z U a I R i a L H c z c E j e Q U x i r o 5 v u 9 9 w 3 v 3 6 w 2 y s W 2 C i + q t 7 k y K I k x R o I z s S m 2 q F A 3 u G K 5 Q x m E n 5 E l U K p h k Y 5 P R l i m q n T s n h H j v s Y 9 x 1 1 e E U R q R Q 7 4 t Z K 1 a g T 6 y / i + H 2 l g n j F S I w / 4 1 h j M c x R Q v 2 B J T I D O E X J u v w K a 9 z / Y H w n p o 3 N A r r m y 4 K Y D M E c j 7 A 3 8 A U E s D B B Q A A g A I A F N m F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T Z h R Z K I p H u A 4 A A A A R A A A A E w A c A E Z v c m 1 1 b G F z L 1 N l Y 3 R p b 2 4 x L m 0 g o h g A K K A U A A A A A A A A A A A A A A A A A A A A A A A A A A A A K 0 5 N L s n M z 1 M I h t C G 1 g B Q S w E C L Q A U A A I A C A B T Z h R Z / / J a F 6 U A A A D 2 A A A A E g A A A A A A A A A A A A A A A A A A A A A A Q 2 9 u Z m l n L 1 B h Y 2 t h Z 2 U u e G 1 s U E s B A i 0 A F A A C A A g A U 2 Y U W Q / K 6 a u k A A A A 6 Q A A A B M A A A A A A A A A A A A A A A A A 8 Q A A A F t D b 2 5 0 Z W 5 0 X 1 R 5 c G V z X S 5 4 b W x Q S w E C L Q A U A A I A C A B T Z h R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/ d y V b U w D E W + 0 i x N j s A 8 C Q A A A A A C A A A A A A A D Z g A A w A A A A B A A A A B + E p i h 2 f q M O j y t i D Q T R a F y A A A A A A S A A A C g A A A A E A A A A I Z O 2 o S j F 4 n d r 8 7 y d S N o f Y h Q A A A A z 7 9 H J + b y W y T t y 9 4 F N + 6 z i V w K s u t J l F i 3 E r o p u 8 w m Z b e x b I e h o r y w 3 z 6 P r C q 6 B + I W T F 2 3 G L + l X V 4 v 1 n k / f J u 5 s R 4 V I e w + Q N M T B B v u p G J 0 d h o U A A A A N R Y S f M q B l w e y + z J O E o f k y A + 4 K B U = < / D a t a M a s h u p > 
</file>

<file path=customXml/itemProps1.xml><?xml version="1.0" encoding="utf-8"?>
<ds:datastoreItem xmlns:ds="http://schemas.openxmlformats.org/officeDocument/2006/customXml" ds:itemID="{CE99D8D7-BAB5-4553-ABB3-3D4008B9B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26</vt:i4>
      </vt:variant>
    </vt:vector>
  </HeadingPairs>
  <TitlesOfParts>
    <vt:vector size="50" baseType="lpstr">
      <vt:lpstr>Índice</vt:lpstr>
      <vt:lpstr>1.4.Ficha.Resumen</vt:lpstr>
      <vt:lpstr>2.1.Bruta</vt:lpstr>
      <vt:lpstr>2.1.Secundario</vt:lpstr>
      <vt:lpstr>2.1.Depurada</vt:lpstr>
      <vt:lpstr>2.1.Regenerada</vt:lpstr>
      <vt:lpstr>2.1.Det.Clase.Generada</vt:lpstr>
      <vt:lpstr>2.1.Vol</vt:lpstr>
      <vt:lpstr>2.3.PI</vt:lpstr>
      <vt:lpstr>2.5.Uso_Previsto_Clase </vt:lpstr>
      <vt:lpstr>2.6.EntornoAgua</vt:lpstr>
      <vt:lpstr>3.1.ResponsablesRol</vt:lpstr>
      <vt:lpstr>3.1.ResponsablesContact</vt:lpstr>
      <vt:lpstr>4.2.ReqMin</vt:lpstr>
      <vt:lpstr>4.3.Barreras</vt:lpstr>
      <vt:lpstr>4.4.MedidasClase</vt:lpstr>
      <vt:lpstr>5.1.AgenteSalud</vt:lpstr>
      <vt:lpstr>5.2.AgenteAmb</vt:lpstr>
      <vt:lpstr>Aux</vt:lpstr>
      <vt:lpstr>6.0.InstruccionesRiesgos</vt:lpstr>
      <vt:lpstr>6.Eval.Riesgos</vt:lpstr>
      <vt:lpstr>7.ReqAdic</vt:lpstr>
      <vt:lpstr>8.Respuesta.Riesgos</vt:lpstr>
      <vt:lpstr>9.Control</vt:lpstr>
      <vt:lpstr>'2.1.Depurada'!denominacion_POI</vt:lpstr>
      <vt:lpstr>'2.1.Regenerada'!denominacion_POI</vt:lpstr>
      <vt:lpstr>'2.1.Secundario'!denominacion_POI</vt:lpstr>
      <vt:lpstr>'2.1.Vol'!denominacion_POI</vt:lpstr>
      <vt:lpstr>'2.5.Uso_Previsto_Clase '!denominacion_POI</vt:lpstr>
      <vt:lpstr>'9.Control'!denominacion_POI</vt:lpstr>
      <vt:lpstr>denominacion_POI</vt:lpstr>
      <vt:lpstr>'2.1.Depurada'!NOMBRE_ORGANIZACION</vt:lpstr>
      <vt:lpstr>'2.1.Regenerada'!NOMBRE_ORGANIZACION</vt:lpstr>
      <vt:lpstr>'2.1.Secundario'!NOMBRE_ORGANIZACION</vt:lpstr>
      <vt:lpstr>'2.1.Vol'!NOMBRE_ORGANIZACION</vt:lpstr>
      <vt:lpstr>'2.5.Uso_Previsto_Clase '!NOMBRE_ORGANIZACION</vt:lpstr>
      <vt:lpstr>NOMBRE_ORGANIZACION</vt:lpstr>
      <vt:lpstr>'2.1.Depurada'!ORGANIZACION_ROL</vt:lpstr>
      <vt:lpstr>'2.1.Regenerada'!ORGANIZACION_ROL</vt:lpstr>
      <vt:lpstr>'2.1.Secundario'!ORGANIZACION_ROL</vt:lpstr>
      <vt:lpstr>'2.1.Vol'!ORGANIZACION_ROL</vt:lpstr>
      <vt:lpstr>'2.5.Uso_Previsto_Clase '!ORGANIZACION_ROL</vt:lpstr>
      <vt:lpstr>ORGANIZACION_ROL</vt:lpstr>
      <vt:lpstr>'2.1.Depurada'!PARTES_RESPONSABLES</vt:lpstr>
      <vt:lpstr>'2.1.Regenerada'!PARTES_RESPONSABLES</vt:lpstr>
      <vt:lpstr>'2.1.Secundario'!PARTES_RESPONSABLES</vt:lpstr>
      <vt:lpstr>'2.1.Vol'!PARTES_RESPONSABLES</vt:lpstr>
      <vt:lpstr>'2.5.Uso_Previsto_Clase '!PARTES_RESPONSABLES</vt:lpstr>
      <vt:lpstr>PARTES_RESPONSABLES</vt:lpstr>
      <vt:lpstr>'2.5.Uso_Previsto_Clase '!zona_regable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MITERD</dc:creator>
  <cp:lastPrinted>2024-05-22T09:12:45Z</cp:lastPrinted>
  <dcterms:created xsi:type="dcterms:W3CDTF">2023-07-21T08:43:31Z</dcterms:created>
  <dcterms:modified xsi:type="dcterms:W3CDTF">2025-02-17T09:58:41Z</dcterms:modified>
</cp:coreProperties>
</file>