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ATOS\COMPARTIDO\IFN4\CYL\P24\TABLAS\"/>
    </mc:Choice>
  </mc:AlternateContent>
  <bookViews>
    <workbookView xWindow="0" yWindow="0" windowWidth="19200" windowHeight="10260"/>
  </bookViews>
  <sheets>
    <sheet name="24-409" sheetId="1" r:id="rId1"/>
  </sheets>
  <definedNames>
    <definedName name="_xlnm._FilterDatabase" localSheetId="0" hidden="1">'24-409'!$A$6:$Q$41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7" i="1" l="1"/>
  <c r="Q50" i="1"/>
  <c r="Q54" i="1"/>
  <c r="Q56" i="1"/>
  <c r="O61" i="1"/>
  <c r="Q61" i="1" s="1"/>
  <c r="J61" i="1"/>
  <c r="I61" i="1"/>
  <c r="F61" i="1"/>
  <c r="E61" i="1"/>
  <c r="H61" i="1" s="1"/>
  <c r="O60" i="1"/>
  <c r="Q60" i="1" s="1"/>
  <c r="J60" i="1"/>
  <c r="H60" i="1"/>
  <c r="F60" i="1"/>
  <c r="O59" i="1"/>
  <c r="Q59" i="1" s="1"/>
  <c r="J59" i="1"/>
  <c r="I59" i="1"/>
  <c r="F59" i="1"/>
  <c r="E59" i="1"/>
  <c r="H59" i="1" s="1"/>
  <c r="O58" i="1"/>
  <c r="Q58" i="1" s="1"/>
  <c r="J58" i="1"/>
  <c r="H58" i="1"/>
  <c r="F58" i="1"/>
  <c r="N58" i="1" s="1"/>
  <c r="P58" i="1" s="1"/>
  <c r="O57" i="1"/>
  <c r="Q57" i="1" s="1"/>
  <c r="J57" i="1"/>
  <c r="I57" i="1"/>
  <c r="F57" i="1"/>
  <c r="E57" i="1"/>
  <c r="H57" i="1" s="1"/>
  <c r="O56" i="1"/>
  <c r="J56" i="1"/>
  <c r="H56" i="1"/>
  <c r="F56" i="1"/>
  <c r="N56" i="1" s="1"/>
  <c r="P56" i="1" s="1"/>
  <c r="O55" i="1"/>
  <c r="Q55" i="1" s="1"/>
  <c r="J55" i="1"/>
  <c r="H55" i="1"/>
  <c r="F55" i="1"/>
  <c r="N55" i="1" s="1"/>
  <c r="P55" i="1" s="1"/>
  <c r="O54" i="1"/>
  <c r="J54" i="1"/>
  <c r="I54" i="1"/>
  <c r="H54" i="1"/>
  <c r="F54" i="1"/>
  <c r="O53" i="1"/>
  <c r="Q53" i="1" s="1"/>
  <c r="J53" i="1"/>
  <c r="I53" i="1"/>
  <c r="F53" i="1"/>
  <c r="E53" i="1"/>
  <c r="H53" i="1" s="1"/>
  <c r="O52" i="1"/>
  <c r="Q52" i="1" s="1"/>
  <c r="J52" i="1"/>
  <c r="I52" i="1"/>
  <c r="H52" i="1"/>
  <c r="F52" i="1"/>
  <c r="N52" i="1" s="1"/>
  <c r="P52" i="1" s="1"/>
  <c r="E52" i="1"/>
  <c r="O51" i="1"/>
  <c r="Q51" i="1" s="1"/>
  <c r="J51" i="1"/>
  <c r="H51" i="1"/>
  <c r="F51" i="1"/>
  <c r="O50" i="1"/>
  <c r="J50" i="1"/>
  <c r="I50" i="1"/>
  <c r="F50" i="1"/>
  <c r="E50" i="1"/>
  <c r="H50" i="1" s="1"/>
  <c r="O49" i="1"/>
  <c r="Q49" i="1" s="1"/>
  <c r="L49" i="1"/>
  <c r="K49" i="1"/>
  <c r="J49" i="1"/>
  <c r="H49" i="1"/>
  <c r="G49" i="1"/>
  <c r="F49" i="1"/>
  <c r="O48" i="1"/>
  <c r="Q48" i="1" s="1"/>
  <c r="J48" i="1"/>
  <c r="I48" i="1"/>
  <c r="F48" i="1"/>
  <c r="E48" i="1"/>
  <c r="H48" i="1" s="1"/>
  <c r="O47" i="1"/>
  <c r="Q47" i="1" s="1"/>
  <c r="J47" i="1"/>
  <c r="H47" i="1"/>
  <c r="F47" i="1"/>
  <c r="N47" i="1" s="1"/>
  <c r="O46" i="1"/>
  <c r="Q46" i="1" s="1"/>
  <c r="J46" i="1"/>
  <c r="I46" i="1"/>
  <c r="F46" i="1"/>
  <c r="E46" i="1"/>
  <c r="H46" i="1" s="1"/>
  <c r="O45" i="1"/>
  <c r="Q45" i="1" s="1"/>
  <c r="L45" i="1"/>
  <c r="K45" i="1"/>
  <c r="J45" i="1"/>
  <c r="H45" i="1"/>
  <c r="G45" i="1"/>
  <c r="F45" i="1"/>
  <c r="O44" i="1"/>
  <c r="Q44" i="1" s="1"/>
  <c r="J44" i="1"/>
  <c r="I44" i="1"/>
  <c r="F44" i="1"/>
  <c r="E44" i="1"/>
  <c r="H44" i="1" s="1"/>
  <c r="O43" i="1"/>
  <c r="Q43" i="1" s="1"/>
  <c r="J43" i="1"/>
  <c r="I43" i="1"/>
  <c r="H43" i="1"/>
  <c r="F43" i="1"/>
  <c r="E43" i="1"/>
  <c r="O42" i="1"/>
  <c r="Q42" i="1" s="1"/>
  <c r="J42" i="1"/>
  <c r="I42" i="1"/>
  <c r="F42" i="1"/>
  <c r="E42" i="1"/>
  <c r="H42" i="1" s="1"/>
  <c r="O41" i="1"/>
  <c r="J41" i="1"/>
  <c r="I41" i="1"/>
  <c r="H41" i="1"/>
  <c r="F41" i="1"/>
  <c r="O40" i="1"/>
  <c r="J40" i="1"/>
  <c r="I40" i="1"/>
  <c r="F40" i="1"/>
  <c r="E40" i="1"/>
  <c r="H40" i="1" s="1"/>
  <c r="O39" i="1"/>
  <c r="J39" i="1"/>
  <c r="I39" i="1"/>
  <c r="H39" i="1"/>
  <c r="F39" i="1"/>
  <c r="N39" i="1" s="1"/>
  <c r="E39" i="1"/>
  <c r="O38" i="1"/>
  <c r="J38" i="1"/>
  <c r="I38" i="1"/>
  <c r="F38" i="1"/>
  <c r="E38" i="1"/>
  <c r="H38" i="1" s="1"/>
  <c r="O37" i="1"/>
  <c r="J37" i="1"/>
  <c r="I37" i="1"/>
  <c r="F37" i="1"/>
  <c r="E37" i="1"/>
  <c r="H37" i="1" s="1"/>
  <c r="O36" i="1"/>
  <c r="L36" i="1"/>
  <c r="K36" i="1"/>
  <c r="J36" i="1"/>
  <c r="H36" i="1"/>
  <c r="G36" i="1"/>
  <c r="F36" i="1"/>
  <c r="O35" i="1"/>
  <c r="L35" i="1"/>
  <c r="K35" i="1"/>
  <c r="J35" i="1"/>
  <c r="H35" i="1"/>
  <c r="G35" i="1"/>
  <c r="F35" i="1"/>
  <c r="O34" i="1"/>
  <c r="J34" i="1"/>
  <c r="I34" i="1"/>
  <c r="F34" i="1"/>
  <c r="E34" i="1"/>
  <c r="H34" i="1" s="1"/>
  <c r="O33" i="1"/>
  <c r="J33" i="1"/>
  <c r="I33" i="1"/>
  <c r="H33" i="1"/>
  <c r="F33" i="1"/>
  <c r="N33" i="1" s="1"/>
  <c r="E33" i="1"/>
  <c r="O32" i="1"/>
  <c r="J32" i="1"/>
  <c r="I32" i="1"/>
  <c r="F32" i="1"/>
  <c r="E32" i="1"/>
  <c r="H32" i="1" s="1"/>
  <c r="O31" i="1"/>
  <c r="J31" i="1"/>
  <c r="I31" i="1"/>
  <c r="F31" i="1"/>
  <c r="E31" i="1"/>
  <c r="H31" i="1" s="1"/>
  <c r="O30" i="1"/>
  <c r="J30" i="1"/>
  <c r="I30" i="1"/>
  <c r="F30" i="1"/>
  <c r="N30" i="1" s="1"/>
  <c r="O29" i="1"/>
  <c r="J29" i="1"/>
  <c r="I29" i="1"/>
  <c r="F29" i="1"/>
  <c r="E29" i="1"/>
  <c r="H29" i="1" s="1"/>
  <c r="O28" i="1"/>
  <c r="J28" i="1"/>
  <c r="I28" i="1"/>
  <c r="H28" i="1"/>
  <c r="F28" i="1"/>
  <c r="E28" i="1"/>
  <c r="O27" i="1"/>
  <c r="J27" i="1"/>
  <c r="I27" i="1"/>
  <c r="F27" i="1"/>
  <c r="E27" i="1"/>
  <c r="H27" i="1" s="1"/>
  <c r="O26" i="1"/>
  <c r="J26" i="1"/>
  <c r="I26" i="1"/>
  <c r="F26" i="1"/>
  <c r="E26" i="1"/>
  <c r="H26" i="1" s="1"/>
  <c r="O25" i="1"/>
  <c r="J25" i="1"/>
  <c r="H25" i="1"/>
  <c r="F25" i="1"/>
  <c r="O24" i="1"/>
  <c r="J24" i="1"/>
  <c r="I24" i="1"/>
  <c r="F24" i="1"/>
  <c r="E24" i="1"/>
  <c r="H24" i="1" s="1"/>
  <c r="O23" i="1"/>
  <c r="J23" i="1"/>
  <c r="I23" i="1"/>
  <c r="F23" i="1"/>
  <c r="E23" i="1"/>
  <c r="H23" i="1" s="1"/>
  <c r="O22" i="1"/>
  <c r="J22" i="1"/>
  <c r="I22" i="1"/>
  <c r="H22" i="1"/>
  <c r="F22" i="1"/>
  <c r="N22" i="1" s="1"/>
  <c r="O21" i="1"/>
  <c r="J21" i="1"/>
  <c r="I21" i="1"/>
  <c r="F21" i="1"/>
  <c r="E21" i="1"/>
  <c r="H21" i="1" s="1"/>
  <c r="O20" i="1"/>
  <c r="J20" i="1"/>
  <c r="I20" i="1"/>
  <c r="H20" i="1"/>
  <c r="F20" i="1"/>
  <c r="O19" i="1"/>
  <c r="N19" i="1"/>
  <c r="J19" i="1"/>
  <c r="I19" i="1"/>
  <c r="F19" i="1"/>
  <c r="O18" i="1"/>
  <c r="K18" i="1"/>
  <c r="J18" i="1"/>
  <c r="I18" i="1"/>
  <c r="H18" i="1"/>
  <c r="G18" i="1"/>
  <c r="F18" i="1"/>
  <c r="O17" i="1"/>
  <c r="K17" i="1"/>
  <c r="J17" i="1"/>
  <c r="I17" i="1"/>
  <c r="H17" i="1"/>
  <c r="G17" i="1"/>
  <c r="F17" i="1"/>
  <c r="O16" i="1"/>
  <c r="J16" i="1"/>
  <c r="I16" i="1"/>
  <c r="F16" i="1"/>
  <c r="E16" i="1"/>
  <c r="H16" i="1" s="1"/>
  <c r="O15" i="1"/>
  <c r="J15" i="1"/>
  <c r="H15" i="1"/>
  <c r="G15" i="1"/>
  <c r="F15" i="1"/>
  <c r="N15" i="1" s="1"/>
  <c r="O14" i="1"/>
  <c r="J14" i="1"/>
  <c r="H14" i="1"/>
  <c r="G14" i="1"/>
  <c r="F14" i="1"/>
  <c r="O13" i="1"/>
  <c r="J13" i="1"/>
  <c r="I13" i="1"/>
  <c r="F13" i="1"/>
  <c r="E13" i="1"/>
  <c r="H13" i="1" s="1"/>
  <c r="O12" i="1"/>
  <c r="J12" i="1"/>
  <c r="H12" i="1"/>
  <c r="F12" i="1"/>
  <c r="O11" i="1"/>
  <c r="J11" i="1"/>
  <c r="I11" i="1"/>
  <c r="H11" i="1"/>
  <c r="F11" i="1"/>
  <c r="N11" i="1" s="1"/>
  <c r="E11" i="1"/>
  <c r="O10" i="1"/>
  <c r="J10" i="1"/>
  <c r="I10" i="1"/>
  <c r="F10" i="1"/>
  <c r="E10" i="1"/>
  <c r="H10" i="1" s="1"/>
  <c r="O9" i="1"/>
  <c r="J9" i="1"/>
  <c r="I9" i="1"/>
  <c r="F9" i="1"/>
  <c r="E9" i="1"/>
  <c r="H9" i="1" s="1"/>
  <c r="O8" i="1"/>
  <c r="J8" i="1"/>
  <c r="I8" i="1"/>
  <c r="H8" i="1"/>
  <c r="F8" i="1"/>
  <c r="N8" i="1" s="1"/>
  <c r="E8" i="1"/>
  <c r="O7" i="1"/>
  <c r="J7" i="1"/>
  <c r="I7" i="1"/>
  <c r="F7" i="1"/>
  <c r="E7" i="1"/>
  <c r="H7" i="1" s="1"/>
  <c r="N10" i="1" l="1"/>
  <c r="N12" i="1"/>
  <c r="N14" i="1"/>
  <c r="N17" i="1"/>
  <c r="N24" i="1"/>
  <c r="N25" i="1"/>
  <c r="N28" i="1"/>
  <c r="N32" i="1"/>
  <c r="N35" i="1"/>
  <c r="N38" i="1"/>
  <c r="N41" i="1"/>
  <c r="N43" i="1"/>
  <c r="P43" i="1" s="1"/>
  <c r="N49" i="1"/>
  <c r="P49" i="1" s="1"/>
  <c r="N54" i="1"/>
  <c r="P54" i="1" s="1"/>
  <c r="N61" i="1"/>
  <c r="P61" i="1" s="1"/>
  <c r="N42" i="1"/>
  <c r="P42" i="1" s="1"/>
  <c r="N45" i="1"/>
  <c r="P45" i="1" s="1"/>
  <c r="N51" i="1"/>
  <c r="P51" i="1" s="1"/>
  <c r="N27" i="1"/>
  <c r="N13" i="1"/>
  <c r="N16" i="1"/>
  <c r="N18" i="1"/>
  <c r="N20" i="1"/>
  <c r="N34" i="1"/>
  <c r="N36" i="1"/>
  <c r="N40" i="1"/>
  <c r="N50" i="1"/>
  <c r="P50" i="1" s="1"/>
  <c r="N53" i="1"/>
  <c r="P53" i="1" s="1"/>
  <c r="N60" i="1"/>
  <c r="P60" i="1" s="1"/>
  <c r="N7" i="1"/>
  <c r="N21" i="1"/>
  <c r="N26" i="1"/>
  <c r="N29" i="1"/>
  <c r="N44" i="1"/>
  <c r="P44" i="1" s="1"/>
  <c r="N46" i="1"/>
  <c r="P46" i="1" s="1"/>
  <c r="N57" i="1"/>
  <c r="P57" i="1" s="1"/>
  <c r="N9" i="1"/>
  <c r="N23" i="1"/>
  <c r="N31" i="1"/>
  <c r="N37" i="1"/>
  <c r="N48" i="1"/>
  <c r="P48" i="1" s="1"/>
  <c r="N59" i="1"/>
  <c r="P59" i="1" s="1"/>
  <c r="Q41" i="1"/>
  <c r="Q40" i="1"/>
  <c r="Q39" i="1"/>
  <c r="P39" i="1"/>
  <c r="P41" i="1" l="1"/>
  <c r="P40" i="1"/>
  <c r="P20" i="1" l="1"/>
  <c r="P31" i="1"/>
  <c r="P26" i="1"/>
  <c r="P35" i="1"/>
  <c r="P38" i="1"/>
  <c r="P13" i="1"/>
  <c r="P14" i="1"/>
  <c r="P37" i="1"/>
  <c r="P33" i="1"/>
  <c r="P25" i="1"/>
  <c r="P22" i="1"/>
  <c r="P12" i="1"/>
  <c r="P8" i="1"/>
  <c r="P30" i="1"/>
  <c r="P16" i="1"/>
  <c r="P27" i="1"/>
  <c r="P17" i="1"/>
  <c r="P34" i="1"/>
  <c r="P29" i="1"/>
  <c r="P23" i="1"/>
  <c r="P10" i="1"/>
  <c r="P24" i="1"/>
  <c r="P7" i="1"/>
  <c r="P19" i="1"/>
  <c r="P21" i="1"/>
  <c r="P28" i="1"/>
  <c r="P32" i="1"/>
  <c r="P36" i="1"/>
  <c r="Q36" i="1"/>
  <c r="Q35" i="1"/>
  <c r="Q32" i="1"/>
  <c r="Q31" i="1"/>
  <c r="Q28" i="1"/>
  <c r="Q21" i="1"/>
  <c r="Q20" i="1"/>
  <c r="Q19" i="1"/>
  <c r="Q7" i="1"/>
  <c r="Q25" i="1"/>
  <c r="Q26" i="1"/>
  <c r="Q24" i="1"/>
  <c r="Q34" i="1"/>
  <c r="Q33" i="1"/>
  <c r="Q22" i="1"/>
  <c r="Q17" i="1"/>
  <c r="Q37" i="1"/>
  <c r="Q18" i="1"/>
  <c r="Q29" i="1"/>
  <c r="Q27" i="1"/>
  <c r="Q23" i="1"/>
  <c r="Q16" i="1"/>
  <c r="Q15" i="1"/>
  <c r="Q14" i="1"/>
  <c r="Q30" i="1"/>
  <c r="Q13" i="1"/>
  <c r="Q12" i="1"/>
  <c r="Q8" i="1"/>
  <c r="Q38" i="1"/>
  <c r="Q11" i="1"/>
  <c r="Q10" i="1"/>
  <c r="Q9" i="1"/>
  <c r="P11" i="1" l="1"/>
  <c r="P15" i="1"/>
  <c r="P18" i="1"/>
  <c r="P9" i="1"/>
</calcChain>
</file>

<file path=xl/comments1.xml><?xml version="1.0" encoding="utf-8"?>
<comments xmlns="http://schemas.openxmlformats.org/spreadsheetml/2006/main">
  <authors>
    <author>ttec</author>
    <author>nom</author>
  </authors>
  <commentList>
    <comment ref="C6" authorId="0" shapeId="0">
      <text>
        <r>
          <rPr>
            <b/>
            <sz val="8"/>
            <color indexed="81"/>
            <rFont val="Tahoma"/>
            <family val="2"/>
          </rPr>
          <t>diámetro  normal medido a 1,3 m de altura</t>
        </r>
      </text>
    </comment>
    <comment ref="D6" authorId="0" shapeId="0">
      <text>
        <r>
          <rPr>
            <b/>
            <sz val="8"/>
            <color indexed="81"/>
            <rFont val="Tahoma"/>
            <family val="2"/>
          </rPr>
          <t>altura total</t>
        </r>
      </text>
    </comment>
    <comment ref="F6" authorId="0" shapeId="0">
      <text>
        <r>
          <rPr>
            <b/>
            <sz val="8"/>
            <color indexed="81"/>
            <rFont val="Tahoma"/>
            <family val="2"/>
          </rPr>
          <t>biomasa del fuste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6" authorId="0" shapeId="0">
      <text>
        <r>
          <rPr>
            <b/>
            <sz val="8"/>
            <color indexed="81"/>
            <rFont val="Tahoma"/>
            <family val="2"/>
          </rPr>
          <t>biomasa de la corteza del fuste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6" authorId="0" shapeId="0">
      <text>
        <r>
          <rPr>
            <b/>
            <sz val="8"/>
            <color indexed="81"/>
            <rFont val="Tahoma"/>
            <family val="2"/>
          </rPr>
          <t>biomasa de ramas mayores de 7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6" authorId="0" shapeId="0">
      <text>
        <r>
          <rPr>
            <b/>
            <sz val="8"/>
            <color indexed="81"/>
            <rFont val="Tahoma"/>
            <family val="2"/>
          </rPr>
          <t>biomasa de ramas entre 2 y 7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" authorId="0" shapeId="0">
      <text>
        <r>
          <rPr>
            <b/>
            <sz val="8"/>
            <color indexed="81"/>
            <rFont val="Tahoma"/>
            <family val="2"/>
          </rPr>
          <t>biomasa de ramas entre 0,5 y 2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6" authorId="1" shapeId="0">
      <text>
        <r>
          <rPr>
            <b/>
            <sz val="8"/>
            <color indexed="81"/>
            <rFont val="Tahoma"/>
            <family val="2"/>
          </rPr>
          <t xml:space="preserve">biomasa de ramas menores de 0,5 cm de diámetro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6" authorId="0" shapeId="0">
      <text>
        <r>
          <rPr>
            <b/>
            <sz val="8"/>
            <color indexed="81"/>
            <rFont val="Tahoma"/>
            <family val="2"/>
          </rPr>
          <t>biomasa de hojas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6" authorId="1" shapeId="0">
      <text>
        <r>
          <rPr>
            <b/>
            <sz val="8"/>
            <color indexed="81"/>
            <rFont val="Tahoma"/>
            <family val="2"/>
          </rPr>
          <t>biomasa de ramas muertas</t>
        </r>
      </text>
    </comment>
    <comment ref="N6" authorId="0" shapeId="0">
      <text>
        <r>
          <rPr>
            <b/>
            <sz val="8"/>
            <color indexed="81"/>
            <rFont val="Tahoma"/>
            <family val="2"/>
          </rPr>
          <t>biomasa total aérea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6" authorId="0" shapeId="0">
      <text>
        <r>
          <rPr>
            <b/>
            <sz val="8"/>
            <color indexed="81"/>
            <rFont val="Tahoma"/>
            <family val="2"/>
          </rPr>
          <t>biomasa de raíces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P6" authorId="0" shapeId="0">
      <text>
        <r>
          <rPr>
            <b/>
            <sz val="8"/>
            <color indexed="81"/>
            <rFont val="Tahoma"/>
            <family val="2"/>
          </rPr>
          <t>fijación de carbono aéreo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Q6" authorId="0" shapeId="0">
      <text>
        <r>
          <rPr>
            <b/>
            <sz val="8"/>
            <color indexed="81"/>
            <rFont val="Tahoma"/>
            <family val="2"/>
          </rPr>
          <t>fijación de carbono radical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<sst xmlns="http://schemas.openxmlformats.org/spreadsheetml/2006/main" count="129" uniqueCount="129">
  <si>
    <t>409. ECUACIONES DE BIOMASA ARBÓREA Y FIJACIÓN DE CARBONO POR ESPECIE</t>
  </si>
  <si>
    <t>CÓD ESPECIE</t>
  </si>
  <si>
    <t>ESPECIE</t>
  </si>
  <si>
    <t>d (cm)</t>
  </si>
  <si>
    <t>h (m)</t>
  </si>
  <si>
    <t>Z</t>
  </si>
  <si>
    <r>
      <t>W</t>
    </r>
    <r>
      <rPr>
        <b/>
        <vertAlign val="subscript"/>
        <sz val="10"/>
        <rFont val="Arial"/>
        <family val="2"/>
      </rPr>
      <t>s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</si>
  <si>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c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</si>
  <si>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b7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</si>
  <si>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b2-7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</si>
  <si>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b0,5-2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</si>
  <si>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</si>
  <si>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 xml:space="preserve">h </t>
    </r>
    <r>
      <rPr>
        <b/>
        <sz val="10"/>
        <rFont val="Arial"/>
        <family val="2"/>
      </rPr>
      <t>(Kg)</t>
    </r>
  </si>
  <si>
    <r>
      <t>W</t>
    </r>
    <r>
      <rPr>
        <b/>
        <vertAlign val="subscript"/>
        <sz val="10"/>
        <rFont val="Arial"/>
        <family val="2"/>
      </rPr>
      <t xml:space="preserve">db </t>
    </r>
    <r>
      <rPr>
        <b/>
        <sz val="10"/>
        <rFont val="Arial"/>
        <family val="2"/>
      </rPr>
      <t>(Kg)</t>
    </r>
  </si>
  <si>
    <t>Wtotal aérea (Kg)</t>
  </si>
  <si>
    <r>
      <t>W</t>
    </r>
    <r>
      <rPr>
        <b/>
        <vertAlign val="subscript"/>
        <sz val="10"/>
        <rFont val="Arial"/>
        <family val="2"/>
      </rPr>
      <t>r</t>
    </r>
    <r>
      <rPr>
        <b/>
        <sz val="10"/>
        <rFont val="Arial"/>
        <family val="2"/>
      </rPr>
      <t xml:space="preserve"> (Kg)</t>
    </r>
  </si>
  <si>
    <t>C aéreo (Kg)</t>
  </si>
  <si>
    <t>C radical (Kg)</t>
  </si>
  <si>
    <t>021</t>
  </si>
  <si>
    <t>025</t>
  </si>
  <si>
    <t>014</t>
  </si>
  <si>
    <t>043</t>
  </si>
  <si>
    <t>044</t>
  </si>
  <si>
    <t>045</t>
  </si>
  <si>
    <t>065</t>
  </si>
  <si>
    <t>215</t>
  </si>
  <si>
    <t>054</t>
  </si>
  <si>
    <t>058</t>
  </si>
  <si>
    <t>258</t>
  </si>
  <si>
    <t>075</t>
  </si>
  <si>
    <t>074</t>
  </si>
  <si>
    <t>012</t>
  </si>
  <si>
    <t>055</t>
  </si>
  <si>
    <t>057</t>
  </si>
  <si>
    <t>255</t>
  </si>
  <si>
    <t>257</t>
  </si>
  <si>
    <t>357</t>
  </si>
  <si>
    <t>038</t>
  </si>
  <si>
    <t>097</t>
  </si>
  <si>
    <t>576</t>
  </si>
  <si>
    <t>052</t>
  </si>
  <si>
    <t>071</t>
  </si>
  <si>
    <t>056</t>
  </si>
  <si>
    <t>Pinus sylvestris</t>
  </si>
  <si>
    <t>Pinus nigra</t>
  </si>
  <si>
    <t>Taxus baccata</t>
  </si>
  <si>
    <t>Juniperus thurifera</t>
  </si>
  <si>
    <t>Quercus pyrenaica</t>
  </si>
  <si>
    <t>Quercus faginea</t>
  </si>
  <si>
    <t>Quercus ilex</t>
  </si>
  <si>
    <t>Ilex aquifolium</t>
  </si>
  <si>
    <t>Sambucus nigra</t>
  </si>
  <si>
    <t>Crataegus monogyna</t>
  </si>
  <si>
    <t>Alnus glutinosa</t>
  </si>
  <si>
    <t>Acer pseudoplatanus</t>
  </si>
  <si>
    <t>Populus tremula</t>
  </si>
  <si>
    <t>Populus nigra</t>
  </si>
  <si>
    <t>Populus x canadensis</t>
  </si>
  <si>
    <t>Fagus sylvatica</t>
  </si>
  <si>
    <t>Juglans regia</t>
  </si>
  <si>
    <t>Corylus avellana</t>
  </si>
  <si>
    <t>Malus sylvestris</t>
  </si>
  <si>
    <t>Fraxinus angustifolia</t>
  </si>
  <si>
    <t>Ulmus minor</t>
  </si>
  <si>
    <t>Salix spp.</t>
  </si>
  <si>
    <t>Fraxinus excelsior</t>
  </si>
  <si>
    <t>Salix alba</t>
  </si>
  <si>
    <t>Salix atrocinerea</t>
  </si>
  <si>
    <t>Pinus pinaster sin resinar</t>
  </si>
  <si>
    <t>Pinus pinaster resinado actualmente por métodos distintos a Hugues.</t>
  </si>
  <si>
    <t>Pinus pinaster con resinación abandonada</t>
  </si>
  <si>
    <t>Para el cálculo de la biomasa arbórea y la fijación del carbono (kg) se deben introducir en la siguiente tabla los distintos diámetros (cm) y alturas (m) de las especies presentes en la provincia.</t>
  </si>
  <si>
    <t>015</t>
  </si>
  <si>
    <t>Crataegus spp.</t>
  </si>
  <si>
    <t>016</t>
  </si>
  <si>
    <t>Pyrus spp.</t>
  </si>
  <si>
    <t>022</t>
  </si>
  <si>
    <t>Pinus uncinata</t>
  </si>
  <si>
    <t>028</t>
  </si>
  <si>
    <t>Pinus radiata</t>
  </si>
  <si>
    <t>034</t>
  </si>
  <si>
    <t>Pseudotsuga menziesii</t>
  </si>
  <si>
    <t>041</t>
  </si>
  <si>
    <t>Quercus robur</t>
  </si>
  <si>
    <t>042</t>
  </si>
  <si>
    <t>Quercus petraea</t>
  </si>
  <si>
    <t>046</t>
  </si>
  <si>
    <t>Quercus suber</t>
  </si>
  <si>
    <t>051</t>
  </si>
  <si>
    <t>Populus alba</t>
  </si>
  <si>
    <t>061</t>
  </si>
  <si>
    <t>Eucalyptus globulus</t>
  </si>
  <si>
    <t>068</t>
  </si>
  <si>
    <t xml:space="preserve">Arbutus unedo </t>
  </si>
  <si>
    <t>072</t>
  </si>
  <si>
    <t>Castanea sativa</t>
  </si>
  <si>
    <t>073</t>
  </si>
  <si>
    <t>Betula spp.</t>
  </si>
  <si>
    <t>077</t>
  </si>
  <si>
    <t>Tilia spp.</t>
  </si>
  <si>
    <t>243</t>
  </si>
  <si>
    <t>Quercus pubescens (Q.humilis)</t>
  </si>
  <si>
    <t>273</t>
  </si>
  <si>
    <t>Betula alba</t>
  </si>
  <si>
    <t>277</t>
  </si>
  <si>
    <t>Tilia cordata</t>
  </si>
  <si>
    <t>278</t>
  </si>
  <si>
    <t>Sorbus aria</t>
  </si>
  <si>
    <t>373</t>
  </si>
  <si>
    <t>Betula pendula</t>
  </si>
  <si>
    <t>377</t>
  </si>
  <si>
    <t>Tilia platyphyllos</t>
  </si>
  <si>
    <t>378</t>
  </si>
  <si>
    <t>Sorbus aucuparia</t>
  </si>
  <si>
    <t>395</t>
  </si>
  <si>
    <t>Prunus avium</t>
  </si>
  <si>
    <t>436</t>
  </si>
  <si>
    <t>Cupressus macrocarpa</t>
  </si>
  <si>
    <t>476</t>
  </si>
  <si>
    <t>Acer opalus</t>
  </si>
  <si>
    <t>626</t>
  </si>
  <si>
    <t>657</t>
  </si>
  <si>
    <t>Salix caprea</t>
  </si>
  <si>
    <t>826</t>
  </si>
  <si>
    <t>857</t>
  </si>
  <si>
    <t>Salix fragilis</t>
  </si>
  <si>
    <t>926</t>
  </si>
  <si>
    <t>957</t>
  </si>
  <si>
    <t>Salix purpurea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</si>
</sst>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6" x14ac:knownFonts="1">
    <font>
      <sz val="10"/>
      <name val="Arial"/>
      <family val="2"/>
    </font>
    <font>
      <b/>
      <sz val="10"/>
      <name val="Arial"/>
      <family val="2"/>
    </font>
    <font>
      <b/>
      <vertAlign val="subscript"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164" fontId="1" fillId="0" borderId="0" xfId="0" applyNumberFormat="1" applyFont="1" applyFill="1" applyBorder="1" applyProtection="1"/>
    <xf numFmtId="0" fontId="0" fillId="0" borderId="0" xfId="0" applyProtection="1"/>
    <xf numFmtId="4" fontId="0" fillId="0" borderId="0" xfId="0" applyNumberFormat="1" applyProtection="1"/>
    <xf numFmtId="0" fontId="1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</xf>
    <xf numFmtId="4" fontId="1" fillId="3" borderId="0" xfId="0" applyNumberFormat="1" applyFont="1" applyFill="1" applyBorder="1" applyAlignment="1" applyProtection="1">
      <alignment horizontal="center" vertical="center"/>
    </xf>
    <xf numFmtId="4" fontId="1" fillId="4" borderId="0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0" fillId="0" borderId="0" xfId="0" applyFill="1" applyBorder="1"/>
    <xf numFmtId="4" fontId="0" fillId="0" borderId="0" xfId="0" applyNumberFormat="1" applyFill="1" applyBorder="1"/>
    <xf numFmtId="164" fontId="0" fillId="0" borderId="0" xfId="0" applyNumberFormat="1" applyFont="1" applyFill="1" applyBorder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61"/>
  <sheetViews>
    <sheetView tabSelected="1" workbookViewId="0"/>
  </sheetViews>
  <sheetFormatPr baseColWidth="10" defaultRowHeight="12.75" x14ac:dyDescent="0.2"/>
  <cols>
    <col min="1" max="2" width="11.42578125" style="2"/>
    <col min="5" max="5" width="11.42578125" style="2"/>
    <col min="6" max="17" width="11.42578125" style="3"/>
  </cols>
  <sheetData>
    <row r="1" spans="1:17" x14ac:dyDescent="0.2">
      <c r="A1" s="1" t="s">
        <v>0</v>
      </c>
    </row>
    <row r="3" spans="1:17" x14ac:dyDescent="0.2">
      <c r="A3" s="14" t="s">
        <v>71</v>
      </c>
    </row>
    <row r="6" spans="1:17" ht="14.25" x14ac:dyDescent="0.2">
      <c r="A6" s="4" t="s">
        <v>1</v>
      </c>
      <c r="B6" s="5" t="s">
        <v>2</v>
      </c>
      <c r="C6" s="6" t="s">
        <v>3</v>
      </c>
      <c r="D6" s="6" t="s">
        <v>4</v>
      </c>
      <c r="E6" s="7" t="s">
        <v>5</v>
      </c>
      <c r="F6" s="8" t="s">
        <v>6</v>
      </c>
      <c r="G6" s="8" t="s">
        <v>7</v>
      </c>
      <c r="H6" s="8" t="s">
        <v>8</v>
      </c>
      <c r="I6" s="8" t="s">
        <v>9</v>
      </c>
      <c r="J6" s="8" t="s">
        <v>10</v>
      </c>
      <c r="K6" s="8" t="s">
        <v>11</v>
      </c>
      <c r="L6" s="8" t="s">
        <v>12</v>
      </c>
      <c r="M6" s="8" t="s">
        <v>13</v>
      </c>
      <c r="N6" s="9" t="s">
        <v>14</v>
      </c>
      <c r="O6" s="9" t="s">
        <v>15</v>
      </c>
      <c r="P6" s="9" t="s">
        <v>16</v>
      </c>
      <c r="Q6" s="9" t="s">
        <v>17</v>
      </c>
    </row>
    <row r="7" spans="1:17" x14ac:dyDescent="0.2">
      <c r="A7" s="10" t="s">
        <v>31</v>
      </c>
      <c r="B7" s="11" t="s">
        <v>61</v>
      </c>
      <c r="C7" s="12">
        <v>40</v>
      </c>
      <c r="D7" s="12">
        <v>10</v>
      </c>
      <c r="E7" s="12">
        <f>IF(C7&gt;12.5,1,0)</f>
        <v>1</v>
      </c>
      <c r="F7" s="13">
        <f>0.0296*POWER(C7,2)*D7</f>
        <v>473.6</v>
      </c>
      <c r="G7" s="13"/>
      <c r="H7" s="13">
        <f>0.231*POWER((C7-12.5),2)*E7</f>
        <v>174.69374999999999</v>
      </c>
      <c r="I7" s="13">
        <f>0.0925*POWER(C7,2)</f>
        <v>148</v>
      </c>
      <c r="J7" s="13">
        <f>2.005*C7</f>
        <v>80.199999999999989</v>
      </c>
      <c r="K7" s="13"/>
      <c r="L7" s="13"/>
      <c r="M7" s="13"/>
      <c r="N7" s="13">
        <f t="shared" ref="N7:N11" si="0">F7+G7+H7+I7+J7+K7+L7</f>
        <v>876.49375000000009</v>
      </c>
      <c r="O7" s="13">
        <f>0.359*POWER(C7,2)</f>
        <v>574.4</v>
      </c>
      <c r="P7" s="13">
        <f t="shared" ref="P7:P41" si="1">N7/2</f>
        <v>438.24687500000005</v>
      </c>
      <c r="Q7" s="13">
        <f t="shared" ref="Q7:Q41" si="2">O7/2</f>
        <v>287.2</v>
      </c>
    </row>
    <row r="8" spans="1:17" x14ac:dyDescent="0.2">
      <c r="A8" s="10" t="s">
        <v>20</v>
      </c>
      <c r="B8" s="11" t="s">
        <v>45</v>
      </c>
      <c r="C8" s="12">
        <v>40</v>
      </c>
      <c r="D8" s="12">
        <v>10</v>
      </c>
      <c r="E8" s="12">
        <f>IF(C8&gt;22.5,1,0)</f>
        <v>1</v>
      </c>
      <c r="F8" s="13">
        <f>0.0132*POWER(C8,2)*D8+0.217*C8*D8</f>
        <v>298</v>
      </c>
      <c r="G8" s="13"/>
      <c r="H8" s="13">
        <f>0.107*POWER((C8-22.5),2)*E8</f>
        <v>32.768749999999997</v>
      </c>
      <c r="I8" s="13">
        <f>0.00792*POWER(C8,2)*D8</f>
        <v>126.72</v>
      </c>
      <c r="J8" s="13">
        <f>0.273*C8*D8</f>
        <v>109.20000000000002</v>
      </c>
      <c r="K8" s="13"/>
      <c r="L8" s="13"/>
      <c r="M8" s="13"/>
      <c r="N8" s="13">
        <f t="shared" si="0"/>
        <v>566.68875000000003</v>
      </c>
      <c r="O8" s="13">
        <f>0.0767*POWER(C8,2)</f>
        <v>122.72000000000001</v>
      </c>
      <c r="P8" s="13">
        <f t="shared" si="1"/>
        <v>283.34437500000001</v>
      </c>
      <c r="Q8" s="13">
        <f t="shared" si="2"/>
        <v>61.360000000000007</v>
      </c>
    </row>
    <row r="9" spans="1:17" x14ac:dyDescent="0.2">
      <c r="A9" s="10" t="s">
        <v>72</v>
      </c>
      <c r="B9" s="11" t="s">
        <v>73</v>
      </c>
      <c r="C9" s="12">
        <v>40</v>
      </c>
      <c r="D9" s="12">
        <v>10</v>
      </c>
      <c r="E9" s="12">
        <f>IF(C9&gt;12.5,1,0)</f>
        <v>1</v>
      </c>
      <c r="F9" s="13">
        <f>0.143*POWER(C9,2)</f>
        <v>228.79999999999998</v>
      </c>
      <c r="G9" s="13"/>
      <c r="H9" s="13">
        <f>(0.0684*POWER((C9-12.5),2)*D9)*E9</f>
        <v>517.27499999999998</v>
      </c>
      <c r="I9" s="13">
        <f>0.0898*POWER(C9,2)</f>
        <v>143.68</v>
      </c>
      <c r="J9" s="13">
        <f>0.0823*POWER(C9,2)</f>
        <v>131.68</v>
      </c>
      <c r="K9" s="13"/>
      <c r="L9" s="13"/>
      <c r="M9" s="13"/>
      <c r="N9" s="13">
        <f t="shared" si="0"/>
        <v>1021.4349999999999</v>
      </c>
      <c r="O9" s="13">
        <f>0.254*POWER(C9,2)</f>
        <v>406.4</v>
      </c>
      <c r="P9" s="13">
        <f t="shared" si="1"/>
        <v>510.71749999999997</v>
      </c>
      <c r="Q9" s="13">
        <f t="shared" si="2"/>
        <v>203.2</v>
      </c>
    </row>
    <row r="10" spans="1:17" x14ac:dyDescent="0.2">
      <c r="A10" s="10" t="s">
        <v>74</v>
      </c>
      <c r="B10" s="11" t="s">
        <v>75</v>
      </c>
      <c r="C10" s="12">
        <v>40</v>
      </c>
      <c r="D10" s="12">
        <v>10</v>
      </c>
      <c r="E10" s="12">
        <f>IF(C10&gt;12.5,1,0)</f>
        <v>1</v>
      </c>
      <c r="F10" s="13">
        <f>0.0296*POWER(C10,2)*D10</f>
        <v>473.6</v>
      </c>
      <c r="G10" s="13"/>
      <c r="H10" s="13">
        <f>0.231*POWER((C10-12.5),2)*E10</f>
        <v>174.69374999999999</v>
      </c>
      <c r="I10" s="13">
        <f>0.0925*POWER(C10,2)</f>
        <v>148</v>
      </c>
      <c r="J10" s="13">
        <f>2.005*C10</f>
        <v>80.199999999999989</v>
      </c>
      <c r="K10" s="13"/>
      <c r="L10" s="13"/>
      <c r="M10" s="13"/>
      <c r="N10" s="13">
        <f t="shared" si="0"/>
        <v>876.49375000000009</v>
      </c>
      <c r="O10" s="13">
        <f>0.359*POWER(C10,2)</f>
        <v>574.4</v>
      </c>
      <c r="P10" s="13">
        <f t="shared" si="1"/>
        <v>438.24687500000005</v>
      </c>
      <c r="Q10" s="13">
        <f t="shared" si="2"/>
        <v>287.2</v>
      </c>
    </row>
    <row r="11" spans="1:17" x14ac:dyDescent="0.2">
      <c r="A11" s="10" t="s">
        <v>18</v>
      </c>
      <c r="B11" s="11" t="s">
        <v>43</v>
      </c>
      <c r="C11" s="12">
        <v>40</v>
      </c>
      <c r="D11" s="12">
        <v>10</v>
      </c>
      <c r="E11" s="12">
        <f>IF(C11&gt;37.5,1,0)</f>
        <v>1</v>
      </c>
      <c r="F11" s="13">
        <f>0.0154*POWER(C11,2)*D11</f>
        <v>246.4</v>
      </c>
      <c r="G11" s="13"/>
      <c r="H11" s="13">
        <f>(0.54*POWER((C11-37.5),2)-0.0119*POWER((C11-37.5),2)*D11)*E11</f>
        <v>2.6312499999999996</v>
      </c>
      <c r="I11" s="13">
        <f>0.0295*POWER(C11,2.742)*POWER(D11,-0.899)</f>
        <v>91.975151570470118</v>
      </c>
      <c r="J11" s="13">
        <f>0.53*POWER(C11,2.199)*POWER(D11,-1.153)</f>
        <v>124.22408042163688</v>
      </c>
      <c r="K11" s="13"/>
      <c r="L11" s="13"/>
      <c r="M11" s="13"/>
      <c r="N11" s="13">
        <f t="shared" si="0"/>
        <v>465.230481992107</v>
      </c>
      <c r="O11" s="13">
        <f>0.13*POWER(C11,2)</f>
        <v>208</v>
      </c>
      <c r="P11" s="13">
        <f t="shared" si="1"/>
        <v>232.6152409960535</v>
      </c>
      <c r="Q11" s="13">
        <f t="shared" si="2"/>
        <v>104</v>
      </c>
    </row>
    <row r="12" spans="1:17" x14ac:dyDescent="0.2">
      <c r="A12" s="10" t="s">
        <v>76</v>
      </c>
      <c r="B12" s="11" t="s">
        <v>77</v>
      </c>
      <c r="C12" s="12">
        <v>40</v>
      </c>
      <c r="D12" s="12">
        <v>10</v>
      </c>
      <c r="E12" s="12"/>
      <c r="F12" s="13">
        <f>0.0203*POWER(C12,2)*D12</f>
        <v>324.79999999999995</v>
      </c>
      <c r="G12" s="13"/>
      <c r="H12" s="13">
        <f>0.0379*POWER(C12,2)</f>
        <v>60.640000000000008</v>
      </c>
      <c r="I12" s="13"/>
      <c r="J12" s="13">
        <f>2.74*C12-2.64*D12</f>
        <v>83.2</v>
      </c>
      <c r="K12" s="13"/>
      <c r="L12" s="13"/>
      <c r="M12" s="13"/>
      <c r="N12" s="13">
        <f>F12+G12+H12+I12+J12+K12+L12</f>
        <v>468.63999999999993</v>
      </c>
      <c r="O12" s="13">
        <f>0.193*POWER(C12,2)</f>
        <v>308.8</v>
      </c>
      <c r="P12" s="13">
        <f t="shared" si="1"/>
        <v>234.31999999999996</v>
      </c>
      <c r="Q12" s="13">
        <f t="shared" si="2"/>
        <v>154.4</v>
      </c>
    </row>
    <row r="13" spans="1:17" x14ac:dyDescent="0.2">
      <c r="A13" s="10" t="s">
        <v>19</v>
      </c>
      <c r="B13" s="11" t="s">
        <v>44</v>
      </c>
      <c r="C13" s="12">
        <v>40</v>
      </c>
      <c r="D13" s="12">
        <v>10</v>
      </c>
      <c r="E13" s="12">
        <f>IF(C13&gt;32.5,1,0)</f>
        <v>1</v>
      </c>
      <c r="F13" s="13">
        <f>0.0403*POWER(C13,1.838)*POWER(D13,0.945)</f>
        <v>312.52971089192505</v>
      </c>
      <c r="G13" s="13"/>
      <c r="H13" s="13">
        <f>0.228*POWER((C13-32.5),2)*E13</f>
        <v>12.825000000000001</v>
      </c>
      <c r="I13" s="13">
        <f>0.0521*POWER(C13,2)</f>
        <v>83.36</v>
      </c>
      <c r="J13" s="13">
        <f>0.072*POWER(C13,2)</f>
        <v>115.19999999999999</v>
      </c>
      <c r="K13" s="13"/>
      <c r="L13" s="13"/>
      <c r="M13" s="13"/>
      <c r="N13" s="13">
        <f t="shared" ref="N13:N61" si="3">F13+G13+H13+I13+J13+K13+L13</f>
        <v>523.9147108919251</v>
      </c>
      <c r="O13" s="13">
        <f>0.0189*POWER(C13,2.445)</f>
        <v>156.1343584045832</v>
      </c>
      <c r="P13" s="13">
        <f t="shared" si="1"/>
        <v>261.95735544596255</v>
      </c>
      <c r="Q13" s="13">
        <f t="shared" si="2"/>
        <v>78.067179202291598</v>
      </c>
    </row>
    <row r="14" spans="1:17" x14ac:dyDescent="0.2">
      <c r="A14" s="10" t="s">
        <v>78</v>
      </c>
      <c r="B14" s="11" t="s">
        <v>79</v>
      </c>
      <c r="C14" s="12">
        <v>40</v>
      </c>
      <c r="D14" s="12">
        <v>10</v>
      </c>
      <c r="E14" s="12"/>
      <c r="F14" s="13">
        <f>0.0123*POWER(C14,1.6042)*POWER(D14,1.4131)</f>
        <v>118.31225978163843</v>
      </c>
      <c r="G14" s="13">
        <f>0.0036*POWER(C14,2.6564)</f>
        <v>64.86563317404476</v>
      </c>
      <c r="H14" s="13">
        <f>1.937699+0.001065*POWER(C14,2)*D14</f>
        <v>18.977698999999998</v>
      </c>
      <c r="I14" s="13"/>
      <c r="J14" s="13">
        <f>0.0363*POWER(C14,2.6091)*POWER(D14,-0.9417)+0.0423*POWER(C14,1.7141)</f>
        <v>86.400178333400092</v>
      </c>
      <c r="K14" s="13"/>
      <c r="L14" s="13"/>
      <c r="M14" s="13"/>
      <c r="N14" s="13">
        <f t="shared" si="3"/>
        <v>288.55577028908328</v>
      </c>
      <c r="O14" s="13">
        <f>0.0078*POWER(C14,1.9606)</f>
        <v>10.791788409198292</v>
      </c>
      <c r="P14" s="13">
        <f t="shared" si="1"/>
        <v>144.27788514454164</v>
      </c>
      <c r="Q14" s="13">
        <f t="shared" si="2"/>
        <v>5.3958942045991458</v>
      </c>
    </row>
    <row r="15" spans="1:17" x14ac:dyDescent="0.2">
      <c r="A15" s="10" t="s">
        <v>80</v>
      </c>
      <c r="B15" s="11" t="s">
        <v>81</v>
      </c>
      <c r="C15" s="12">
        <v>40</v>
      </c>
      <c r="D15" s="12">
        <v>10</v>
      </c>
      <c r="E15" s="12"/>
      <c r="F15" s="13">
        <f>0.0123*POWER(C15,1.6042)*POWER(D15,1.4131)</f>
        <v>118.31225978163843</v>
      </c>
      <c r="G15" s="13">
        <f>0.0036*POWER(C15,2.6564)</f>
        <v>64.86563317404476</v>
      </c>
      <c r="H15" s="13">
        <f>1.937699+0.001065*POWER(C15,2)*D15</f>
        <v>18.977698999999998</v>
      </c>
      <c r="I15" s="13"/>
      <c r="J15" s="13">
        <f>0.0363*POWER(C15,2.6091)*POWER(D15,-0.9417)+0.0423*POWER(C15,1.7141)</f>
        <v>86.400178333400092</v>
      </c>
      <c r="K15" s="13"/>
      <c r="L15" s="13"/>
      <c r="M15" s="13"/>
      <c r="N15" s="13">
        <f t="shared" si="3"/>
        <v>288.55577028908328</v>
      </c>
      <c r="O15" s="13">
        <f>0.0078*POWER(C15,1.9606)</f>
        <v>10.791788409198292</v>
      </c>
      <c r="P15" s="13">
        <f t="shared" si="1"/>
        <v>144.27788514454164</v>
      </c>
      <c r="Q15" s="13">
        <f t="shared" si="2"/>
        <v>5.3958942045991458</v>
      </c>
    </row>
    <row r="16" spans="1:17" x14ac:dyDescent="0.2">
      <c r="A16" s="10" t="s">
        <v>37</v>
      </c>
      <c r="B16" s="11" t="s">
        <v>46</v>
      </c>
      <c r="C16" s="12">
        <v>40</v>
      </c>
      <c r="D16" s="12">
        <v>10</v>
      </c>
      <c r="E16" s="12">
        <f>IF(C16&gt;22.5,1,0)</f>
        <v>1</v>
      </c>
      <c r="F16" s="13">
        <f>0.0132*POWER(C16,2)*D16+0.217*C16*D16</f>
        <v>298</v>
      </c>
      <c r="G16" s="13"/>
      <c r="H16" s="13">
        <f>0.107*POWER((C16-22.5),2)*E16</f>
        <v>32.768749999999997</v>
      </c>
      <c r="I16" s="13">
        <f>0.00792*POWER(C16,2)*D16</f>
        <v>126.72</v>
      </c>
      <c r="J16" s="13">
        <f>0.273*C16*D16</f>
        <v>109.20000000000002</v>
      </c>
      <c r="K16" s="13"/>
      <c r="L16" s="13"/>
      <c r="M16" s="13"/>
      <c r="N16" s="13">
        <f t="shared" si="3"/>
        <v>566.68875000000003</v>
      </c>
      <c r="O16" s="13">
        <f>0.0767*POWER(C16,2)</f>
        <v>122.72000000000001</v>
      </c>
      <c r="P16" s="13">
        <f t="shared" si="1"/>
        <v>283.34437500000001</v>
      </c>
      <c r="Q16" s="13">
        <f t="shared" si="2"/>
        <v>61.360000000000007</v>
      </c>
    </row>
    <row r="17" spans="1:17" x14ac:dyDescent="0.2">
      <c r="A17" s="10" t="s">
        <v>82</v>
      </c>
      <c r="B17" s="11" t="s">
        <v>83</v>
      </c>
      <c r="C17" s="12">
        <v>40</v>
      </c>
      <c r="D17" s="12">
        <v>10</v>
      </c>
      <c r="E17" s="12"/>
      <c r="F17" s="13">
        <f>-5.714+0.018*POWER(C17,2)*D17</f>
        <v>282.286</v>
      </c>
      <c r="G17" s="13">
        <f>-1.5+0.032*POWER(C17,2)+0.001*POWER(C17,2)*D17</f>
        <v>65.7</v>
      </c>
      <c r="H17" s="13">
        <f>0.000000003427*POWER((C17*C17*D17),2.31)</f>
        <v>17.637265979966916</v>
      </c>
      <c r="I17" s="13">
        <f>4.268+0.003*POWER(C17,2)*D17</f>
        <v>52.268000000000001</v>
      </c>
      <c r="J17" s="13">
        <f>0.039*POWER(C17,1.784)</f>
        <v>28.128050399345646</v>
      </c>
      <c r="K17" s="13">
        <f>0.02*POWER((C17*C17*D17),0.737)</f>
        <v>25.08802205999875</v>
      </c>
      <c r="L17" s="13"/>
      <c r="M17" s="13"/>
      <c r="N17" s="13">
        <f t="shared" si="3"/>
        <v>471.10733843931126</v>
      </c>
      <c r="O17" s="13">
        <f>0.0851*POWER(C17,2.151)</f>
        <v>237.66246728826951</v>
      </c>
      <c r="P17" s="13">
        <f t="shared" si="1"/>
        <v>235.55366921965563</v>
      </c>
      <c r="Q17" s="13">
        <f t="shared" si="2"/>
        <v>118.83123364413476</v>
      </c>
    </row>
    <row r="18" spans="1:17" x14ac:dyDescent="0.2">
      <c r="A18" s="10" t="s">
        <v>84</v>
      </c>
      <c r="B18" s="11" t="s">
        <v>85</v>
      </c>
      <c r="C18" s="12">
        <v>40</v>
      </c>
      <c r="D18" s="12">
        <v>10</v>
      </c>
      <c r="E18" s="12"/>
      <c r="F18" s="13">
        <f>-5.714+0.018*POWER(C18,2)*D18</f>
        <v>282.286</v>
      </c>
      <c r="G18" s="13">
        <f>-1.5+0.032*POWER(C18,2)+0.001*POWER(C18,2)*D18</f>
        <v>65.7</v>
      </c>
      <c r="H18" s="13">
        <f>0.000000003427*POWER((C18*C18*D18),2.31)</f>
        <v>17.637265979966916</v>
      </c>
      <c r="I18" s="13">
        <f>4.268+0.003*POWER(C18,2)*D18</f>
        <v>52.268000000000001</v>
      </c>
      <c r="J18" s="13">
        <f>0.039*POWER(C18,1.784)</f>
        <v>28.128050399345646</v>
      </c>
      <c r="K18" s="13">
        <f>0.02*POWER((C18*C18*D18),0.737)</f>
        <v>25.08802205999875</v>
      </c>
      <c r="L18" s="13"/>
      <c r="M18" s="13"/>
      <c r="N18" s="13">
        <f t="shared" si="3"/>
        <v>471.10733843931126</v>
      </c>
      <c r="O18" s="13">
        <f>0.0851*POWER(C18,2.151)</f>
        <v>237.66246728826951</v>
      </c>
      <c r="P18" s="13">
        <f t="shared" si="1"/>
        <v>235.55366921965563</v>
      </c>
      <c r="Q18" s="13">
        <f t="shared" si="2"/>
        <v>118.83123364413476</v>
      </c>
    </row>
    <row r="19" spans="1:17" x14ac:dyDescent="0.2">
      <c r="A19" s="10" t="s">
        <v>21</v>
      </c>
      <c r="B19" s="11" t="s">
        <v>47</v>
      </c>
      <c r="C19" s="12">
        <v>40</v>
      </c>
      <c r="D19" s="12">
        <v>10</v>
      </c>
      <c r="E19" s="12"/>
      <c r="F19" s="13">
        <f>0.0261*POWER(C19,2)*D19</f>
        <v>417.6</v>
      </c>
      <c r="G19" s="13"/>
      <c r="H19" s="13"/>
      <c r="I19" s="13">
        <f>-0.026*POWER(C19,2)+0.536*D19+0.00538*POWER(C19,2)*D19</f>
        <v>49.840000000000011</v>
      </c>
      <c r="J19" s="13">
        <f>0.898*C19-0.445*D19</f>
        <v>31.470000000000002</v>
      </c>
      <c r="K19" s="13"/>
      <c r="L19" s="13"/>
      <c r="M19" s="13"/>
      <c r="N19" s="13">
        <f t="shared" si="3"/>
        <v>498.91000000000008</v>
      </c>
      <c r="O19" s="13">
        <f>0.143*POWER(C19,2)</f>
        <v>228.79999999999998</v>
      </c>
      <c r="P19" s="13">
        <f t="shared" si="1"/>
        <v>249.45500000000004</v>
      </c>
      <c r="Q19" s="13">
        <f t="shared" si="2"/>
        <v>114.39999999999999</v>
      </c>
    </row>
    <row r="20" spans="1:17" x14ac:dyDescent="0.2">
      <c r="A20" s="10" t="s">
        <v>22</v>
      </c>
      <c r="B20" s="11" t="s">
        <v>48</v>
      </c>
      <c r="C20" s="12">
        <v>40</v>
      </c>
      <c r="D20" s="12">
        <v>10</v>
      </c>
      <c r="E20" s="12"/>
      <c r="F20" s="13">
        <f>0.154*POWER(C20,2)</f>
        <v>246.4</v>
      </c>
      <c r="G20" s="13"/>
      <c r="H20" s="13">
        <f>0.0861*POWER(C20,2)</f>
        <v>137.76</v>
      </c>
      <c r="I20" s="13">
        <f>0.127*POWER(C20,2)-0.00598*POWER(C20,2)*D20</f>
        <v>107.52</v>
      </c>
      <c r="J20" s="13">
        <f>0.0726*POWER(C20,2)-0.00275*POWER(C20,2)*D20</f>
        <v>72.16</v>
      </c>
      <c r="K20" s="13"/>
      <c r="L20" s="13"/>
      <c r="M20" s="13"/>
      <c r="N20" s="13">
        <f t="shared" si="3"/>
        <v>563.83999999999992</v>
      </c>
      <c r="O20" s="13">
        <f>0.169*POWER(C20,2)</f>
        <v>270.40000000000003</v>
      </c>
      <c r="P20" s="13">
        <f t="shared" si="1"/>
        <v>281.91999999999996</v>
      </c>
      <c r="Q20" s="13">
        <f t="shared" si="2"/>
        <v>135.20000000000002</v>
      </c>
    </row>
    <row r="21" spans="1:17" x14ac:dyDescent="0.2">
      <c r="A21" s="10" t="s">
        <v>23</v>
      </c>
      <c r="B21" s="11" t="s">
        <v>49</v>
      </c>
      <c r="C21" s="12">
        <v>40</v>
      </c>
      <c r="D21" s="12">
        <v>10</v>
      </c>
      <c r="E21" s="12">
        <f>IF(C21&gt;12.5,1,0)</f>
        <v>1</v>
      </c>
      <c r="F21" s="13">
        <f>0.143*POWER(C21,2)</f>
        <v>228.79999999999998</v>
      </c>
      <c r="G21" s="13"/>
      <c r="H21" s="13">
        <f>(0.0684*POWER((C21-12.5),2)*D21)*E21</f>
        <v>517.27499999999998</v>
      </c>
      <c r="I21" s="13">
        <f>0.0898*POWER(C21,2)</f>
        <v>143.68</v>
      </c>
      <c r="J21" s="13">
        <f>0.0823*POWER(C21,2)</f>
        <v>131.68</v>
      </c>
      <c r="K21" s="13"/>
      <c r="L21" s="13"/>
      <c r="M21" s="13"/>
      <c r="N21" s="13">
        <f t="shared" si="3"/>
        <v>1021.4349999999999</v>
      </c>
      <c r="O21" s="13">
        <f>0.254*POWER(C21,2)</f>
        <v>406.4</v>
      </c>
      <c r="P21" s="13">
        <f t="shared" si="1"/>
        <v>510.71749999999997</v>
      </c>
      <c r="Q21" s="13">
        <f t="shared" si="2"/>
        <v>203.2</v>
      </c>
    </row>
    <row r="22" spans="1:17" x14ac:dyDescent="0.2">
      <c r="A22" s="10" t="s">
        <v>86</v>
      </c>
      <c r="B22" s="11" t="s">
        <v>87</v>
      </c>
      <c r="C22" s="12">
        <v>40</v>
      </c>
      <c r="D22" s="12">
        <v>10</v>
      </c>
      <c r="E22" s="12"/>
      <c r="F22" s="13">
        <f>0.00525*POWER(C22,2)*D22+0.278*C22*D22</f>
        <v>195.20000000000002</v>
      </c>
      <c r="G22" s="13"/>
      <c r="H22" s="13">
        <f>0.0135*POWER(C22,2)*D22</f>
        <v>216</v>
      </c>
      <c r="I22" s="13">
        <f>0.127*C22*D22</f>
        <v>50.8</v>
      </c>
      <c r="J22" s="13">
        <f>0.0463*C22*D22</f>
        <v>18.52</v>
      </c>
      <c r="K22" s="13"/>
      <c r="L22" s="13"/>
      <c r="M22" s="13"/>
      <c r="N22" s="13">
        <f t="shared" si="3"/>
        <v>480.52000000000004</v>
      </c>
      <c r="O22" s="13">
        <f>0.0829*POWER(C22,2)</f>
        <v>132.64000000000001</v>
      </c>
      <c r="P22" s="13">
        <f t="shared" si="1"/>
        <v>240.26000000000002</v>
      </c>
      <c r="Q22" s="13">
        <f t="shared" si="2"/>
        <v>66.320000000000007</v>
      </c>
    </row>
    <row r="23" spans="1:17" x14ac:dyDescent="0.2">
      <c r="A23" s="10" t="s">
        <v>88</v>
      </c>
      <c r="B23" s="11" t="s">
        <v>89</v>
      </c>
      <c r="C23" s="12">
        <v>40</v>
      </c>
      <c r="D23" s="12">
        <v>10</v>
      </c>
      <c r="E23" s="12">
        <f>IF(C23&gt;22.5,1,0)</f>
        <v>1</v>
      </c>
      <c r="F23" s="13">
        <f>0.013*POWER(C23,2)*D23</f>
        <v>208</v>
      </c>
      <c r="G23" s="13"/>
      <c r="H23" s="13">
        <f>(0.538*POWER((C23-22.5),2)-0.013*POWER((C23-22.5),2)*D23)*E23</f>
        <v>124.95000000000002</v>
      </c>
      <c r="I23" s="13">
        <f>0.0385*POWER(C23,2)</f>
        <v>61.6</v>
      </c>
      <c r="J23" s="13">
        <f>0.0774*POWER(C23,2)-0.00198*POWER(C23,2)*D23</f>
        <v>92.16</v>
      </c>
      <c r="K23" s="13"/>
      <c r="L23" s="13"/>
      <c r="M23" s="13"/>
      <c r="N23" s="13">
        <f t="shared" si="3"/>
        <v>486.71000000000004</v>
      </c>
      <c r="O23" s="13">
        <f>0.122*POWER(C23,2)</f>
        <v>195.2</v>
      </c>
      <c r="P23" s="13">
        <f t="shared" si="1"/>
        <v>243.35500000000002</v>
      </c>
      <c r="Q23" s="13">
        <f t="shared" si="2"/>
        <v>97.6</v>
      </c>
    </row>
    <row r="24" spans="1:17" x14ac:dyDescent="0.2">
      <c r="A24" s="10" t="s">
        <v>40</v>
      </c>
      <c r="B24" s="11" t="s">
        <v>55</v>
      </c>
      <c r="C24" s="12">
        <v>40</v>
      </c>
      <c r="D24" s="12">
        <v>10</v>
      </c>
      <c r="E24" s="12">
        <f>IF(C24&gt;22.5,1,0)</f>
        <v>1</v>
      </c>
      <c r="F24" s="13">
        <f>0.013*POWER(C24,2)*D24</f>
        <v>208</v>
      </c>
      <c r="G24" s="13"/>
      <c r="H24" s="13">
        <f>(0.538*POWER((C24-22.5),2)-0.013*POWER((C24-22.5),2)*D24)*E24</f>
        <v>124.95000000000002</v>
      </c>
      <c r="I24" s="13">
        <f>0.0385*POWER(C24,2)</f>
        <v>61.6</v>
      </c>
      <c r="J24" s="13">
        <f>0.0774*POWER(C24,2)-0.00198*POWER(C24,2)*D24</f>
        <v>92.16</v>
      </c>
      <c r="K24" s="13"/>
      <c r="L24" s="13"/>
      <c r="M24" s="13"/>
      <c r="N24" s="13">
        <f t="shared" si="3"/>
        <v>486.71000000000004</v>
      </c>
      <c r="O24" s="13">
        <f>0.122*POWER(C24,2)</f>
        <v>195.2</v>
      </c>
      <c r="P24" s="13">
        <f t="shared" si="1"/>
        <v>243.35500000000002</v>
      </c>
      <c r="Q24" s="13">
        <f t="shared" si="2"/>
        <v>97.6</v>
      </c>
    </row>
    <row r="25" spans="1:17" x14ac:dyDescent="0.2">
      <c r="A25" s="10" t="s">
        <v>26</v>
      </c>
      <c r="B25" s="11" t="s">
        <v>53</v>
      </c>
      <c r="C25" s="12">
        <v>40</v>
      </c>
      <c r="D25" s="12">
        <v>10</v>
      </c>
      <c r="E25" s="12"/>
      <c r="F25" s="13">
        <f>0.0191*POWER(C25,2)*D25</f>
        <v>305.59999999999997</v>
      </c>
      <c r="G25" s="13"/>
      <c r="H25" s="13">
        <f>0.0512*POWER(C25,2)</f>
        <v>81.92</v>
      </c>
      <c r="I25" s="13"/>
      <c r="J25" s="13">
        <f>0.0567*C25*D25</f>
        <v>22.68</v>
      </c>
      <c r="K25" s="13"/>
      <c r="L25" s="13"/>
      <c r="M25" s="13"/>
      <c r="N25" s="13">
        <f t="shared" si="3"/>
        <v>410.2</v>
      </c>
      <c r="O25" s="13">
        <f>0.214*POWER(C25,2)</f>
        <v>342.4</v>
      </c>
      <c r="P25" s="13">
        <f t="shared" si="1"/>
        <v>205.1</v>
      </c>
      <c r="Q25" s="13">
        <f t="shared" si="2"/>
        <v>171.2</v>
      </c>
    </row>
    <row r="26" spans="1:17" x14ac:dyDescent="0.2">
      <c r="A26" s="10" t="s">
        <v>32</v>
      </c>
      <c r="B26" s="11" t="s">
        <v>62</v>
      </c>
      <c r="C26" s="12">
        <v>40</v>
      </c>
      <c r="D26" s="12">
        <v>10</v>
      </c>
      <c r="E26" s="12">
        <f>IF(C26&gt;12.5,1,0)</f>
        <v>1</v>
      </c>
      <c r="F26" s="13">
        <f>0.0296*POWER(C26,2)*D26</f>
        <v>473.6</v>
      </c>
      <c r="G26" s="13"/>
      <c r="H26" s="13">
        <f>0.231*POWER((C26-12.5),2)*E26</f>
        <v>174.69374999999999</v>
      </c>
      <c r="I26" s="13">
        <f>0.0925*POWER(C26,2)</f>
        <v>148</v>
      </c>
      <c r="J26" s="13">
        <f>2.005*C26</f>
        <v>80.199999999999989</v>
      </c>
      <c r="K26" s="13"/>
      <c r="L26" s="13"/>
      <c r="M26" s="13"/>
      <c r="N26" s="13">
        <f t="shared" si="3"/>
        <v>876.49375000000009</v>
      </c>
      <c r="O26" s="13">
        <f>0.359*POWER(C26,2)</f>
        <v>574.4</v>
      </c>
      <c r="P26" s="13">
        <f t="shared" si="1"/>
        <v>438.24687500000005</v>
      </c>
      <c r="Q26" s="13">
        <f t="shared" si="2"/>
        <v>287.2</v>
      </c>
    </row>
    <row r="27" spans="1:17" x14ac:dyDescent="0.2">
      <c r="A27" s="10" t="s">
        <v>42</v>
      </c>
      <c r="B27" s="11" t="s">
        <v>63</v>
      </c>
      <c r="C27" s="12">
        <v>40</v>
      </c>
      <c r="D27" s="12">
        <v>10</v>
      </c>
      <c r="E27" s="12">
        <f>IF(C27&gt;12.5,1,0)</f>
        <v>1</v>
      </c>
      <c r="F27" s="13">
        <f>0.0296*POWER(C27,2)*D27</f>
        <v>473.6</v>
      </c>
      <c r="G27" s="13"/>
      <c r="H27" s="13">
        <f>0.231*POWER((C27-12.5),2)*E27</f>
        <v>174.69374999999999</v>
      </c>
      <c r="I27" s="13">
        <f>0.0925*POWER(C27,2)</f>
        <v>148</v>
      </c>
      <c r="J27" s="13">
        <f>2.005*C27</f>
        <v>80.199999999999989</v>
      </c>
      <c r="K27" s="13"/>
      <c r="L27" s="13"/>
      <c r="M27" s="13"/>
      <c r="N27" s="13">
        <f t="shared" si="3"/>
        <v>876.49375000000009</v>
      </c>
      <c r="O27" s="13">
        <f>0.359*POWER(C27,2)</f>
        <v>574.4</v>
      </c>
      <c r="P27" s="13">
        <f t="shared" si="1"/>
        <v>438.24687500000005</v>
      </c>
      <c r="Q27" s="13">
        <f t="shared" si="2"/>
        <v>287.2</v>
      </c>
    </row>
    <row r="28" spans="1:17" x14ac:dyDescent="0.2">
      <c r="A28" s="10" t="s">
        <v>33</v>
      </c>
      <c r="B28" s="11" t="s">
        <v>64</v>
      </c>
      <c r="C28" s="12">
        <v>40</v>
      </c>
      <c r="D28" s="12">
        <v>10</v>
      </c>
      <c r="E28" s="12">
        <f>IF(C28&gt;12.5,1,0)</f>
        <v>1</v>
      </c>
      <c r="F28" s="13">
        <f>0.0296*POWER(C28,2)*D28</f>
        <v>473.6</v>
      </c>
      <c r="G28" s="13"/>
      <c r="H28" s="13">
        <f>0.231*POWER((C28-12.5),2)*E28</f>
        <v>174.69374999999999</v>
      </c>
      <c r="I28" s="13">
        <f>0.0925*POWER(C28,2)</f>
        <v>148</v>
      </c>
      <c r="J28" s="13">
        <f>2.005*C28</f>
        <v>80.199999999999989</v>
      </c>
      <c r="K28" s="13"/>
      <c r="L28" s="13"/>
      <c r="M28" s="13"/>
      <c r="N28" s="13">
        <f t="shared" si="3"/>
        <v>876.49375000000009</v>
      </c>
      <c r="O28" s="13">
        <f>0.359*POWER(C28,2)</f>
        <v>574.4</v>
      </c>
      <c r="P28" s="13">
        <f t="shared" si="1"/>
        <v>438.24687500000005</v>
      </c>
      <c r="Q28" s="13">
        <f t="shared" si="2"/>
        <v>287.2</v>
      </c>
    </row>
    <row r="29" spans="1:17" x14ac:dyDescent="0.2">
      <c r="A29" s="10" t="s">
        <v>27</v>
      </c>
      <c r="B29" s="11" t="s">
        <v>56</v>
      </c>
      <c r="C29" s="12">
        <v>40</v>
      </c>
      <c r="D29" s="12">
        <v>10</v>
      </c>
      <c r="E29" s="12">
        <f>IF(C29&gt;22.5,1,0)</f>
        <v>1</v>
      </c>
      <c r="F29" s="13">
        <f>0.013*POWER(C29,2)*D29</f>
        <v>208</v>
      </c>
      <c r="G29" s="13"/>
      <c r="H29" s="13">
        <f>(0.538*POWER((C29-22.5),2)-0.013*POWER((C29-22.5),2)*D29)*E29</f>
        <v>124.95000000000002</v>
      </c>
      <c r="I29" s="13">
        <f>0.0385*POWER(C29,2)</f>
        <v>61.6</v>
      </c>
      <c r="J29" s="13">
        <f>0.0774*POWER(C29,2)-0.00198*POWER(C29,2)*D29</f>
        <v>92.16</v>
      </c>
      <c r="K29" s="13"/>
      <c r="L29" s="13"/>
      <c r="M29" s="13"/>
      <c r="N29" s="13">
        <f t="shared" si="3"/>
        <v>486.71000000000004</v>
      </c>
      <c r="O29" s="13">
        <f>0.122*POWER(C29,2)</f>
        <v>195.2</v>
      </c>
      <c r="P29" s="13">
        <f t="shared" si="1"/>
        <v>243.35500000000002</v>
      </c>
      <c r="Q29" s="13">
        <f t="shared" si="2"/>
        <v>97.6</v>
      </c>
    </row>
    <row r="30" spans="1:17" x14ac:dyDescent="0.2">
      <c r="A30" s="10" t="s">
        <v>90</v>
      </c>
      <c r="B30" s="11" t="s">
        <v>91</v>
      </c>
      <c r="C30" s="12">
        <v>40</v>
      </c>
      <c r="D30" s="12">
        <v>10</v>
      </c>
      <c r="E30" s="12"/>
      <c r="F30" s="13">
        <f>0.0221*POWER(C30,2)*D30</f>
        <v>353.6</v>
      </c>
      <c r="G30" s="13"/>
      <c r="H30" s="13"/>
      <c r="I30" s="13">
        <f>0.154*POWER(C30,1.668)</f>
        <v>72.403037497251546</v>
      </c>
      <c r="J30" s="13">
        <f>0.18*POWER((POWER(C30,2)*D30),0.587)</f>
        <v>52.855591207872543</v>
      </c>
      <c r="K30" s="13"/>
      <c r="L30" s="13"/>
      <c r="M30" s="13"/>
      <c r="N30" s="13">
        <f t="shared" si="3"/>
        <v>478.85862870512409</v>
      </c>
      <c r="O30" s="13">
        <f>IF(C30&lt;22.5,170.3,(IF(C30&lt;42.5,199.5,229.4)))</f>
        <v>199.5</v>
      </c>
      <c r="P30" s="13">
        <f t="shared" si="1"/>
        <v>239.42931435256205</v>
      </c>
      <c r="Q30" s="13">
        <f t="shared" si="2"/>
        <v>99.75</v>
      </c>
    </row>
    <row r="31" spans="1:17" x14ac:dyDescent="0.2">
      <c r="A31" s="10" t="s">
        <v>24</v>
      </c>
      <c r="B31" s="11" t="s">
        <v>50</v>
      </c>
      <c r="C31" s="12">
        <v>40</v>
      </c>
      <c r="D31" s="12">
        <v>10</v>
      </c>
      <c r="E31" s="12">
        <f>IF(C31&gt;12.5,1,0)</f>
        <v>1</v>
      </c>
      <c r="F31" s="13">
        <f>0.143*POWER(C31,2)</f>
        <v>228.79999999999998</v>
      </c>
      <c r="G31" s="13"/>
      <c r="H31" s="13">
        <f>(0.0684*POWER((C31-12.5),2)*D31)*E31</f>
        <v>517.27499999999998</v>
      </c>
      <c r="I31" s="13">
        <f>0.0898*POWER(C31,2)</f>
        <v>143.68</v>
      </c>
      <c r="J31" s="13">
        <f>0.0823*POWER(C31,2)</f>
        <v>131.68</v>
      </c>
      <c r="K31" s="13"/>
      <c r="L31" s="13"/>
      <c r="M31" s="13"/>
      <c r="N31" s="13">
        <f t="shared" si="3"/>
        <v>1021.4349999999999</v>
      </c>
      <c r="O31" s="13">
        <f>0.254*POWER(C31,2)</f>
        <v>406.4</v>
      </c>
      <c r="P31" s="13">
        <f t="shared" si="1"/>
        <v>510.71749999999997</v>
      </c>
      <c r="Q31" s="13">
        <f t="shared" si="2"/>
        <v>203.2</v>
      </c>
    </row>
    <row r="32" spans="1:17" x14ac:dyDescent="0.2">
      <c r="A32" s="10" t="s">
        <v>92</v>
      </c>
      <c r="B32" s="11" t="s">
        <v>93</v>
      </c>
      <c r="C32" s="12">
        <v>40</v>
      </c>
      <c r="D32" s="12">
        <v>10</v>
      </c>
      <c r="E32" s="12">
        <f>IF(C32&gt;12.5,1,0)</f>
        <v>1</v>
      </c>
      <c r="F32" s="13">
        <f>0.143*POWER(C32,2)</f>
        <v>228.79999999999998</v>
      </c>
      <c r="G32" s="13"/>
      <c r="H32" s="13">
        <f>(0.0684*POWER((C32-12.5),2)*D32)*E32</f>
        <v>517.27499999999998</v>
      </c>
      <c r="I32" s="13">
        <f>0.0898*POWER(C32,2)</f>
        <v>143.68</v>
      </c>
      <c r="J32" s="13">
        <f>0.0823*POWER(C32,2)</f>
        <v>131.68</v>
      </c>
      <c r="K32" s="13"/>
      <c r="L32" s="13"/>
      <c r="M32" s="13"/>
      <c r="N32" s="13">
        <f t="shared" si="3"/>
        <v>1021.4349999999999</v>
      </c>
      <c r="O32" s="13">
        <f>0.254*POWER(C32,2)</f>
        <v>406.4</v>
      </c>
      <c r="P32" s="13">
        <f t="shared" si="1"/>
        <v>510.71749999999997</v>
      </c>
      <c r="Q32" s="13">
        <f t="shared" si="2"/>
        <v>203.2</v>
      </c>
    </row>
    <row r="33" spans="1:17" x14ac:dyDescent="0.2">
      <c r="A33" s="10" t="s">
        <v>41</v>
      </c>
      <c r="B33" s="11" t="s">
        <v>58</v>
      </c>
      <c r="C33" s="12">
        <v>40</v>
      </c>
      <c r="D33" s="12">
        <v>10</v>
      </c>
      <c r="E33" s="12">
        <f>IF(C33&gt;22.5,1,0)</f>
        <v>1</v>
      </c>
      <c r="F33" s="13">
        <f>0.0676*POWER(C33,2)+0.0182*POWER(C33,2)*D33</f>
        <v>399.36</v>
      </c>
      <c r="G33" s="13"/>
      <c r="H33" s="13">
        <f>(0.83*POWER((C33-22.5),2)-0.0248*POWER((C33-22.5),2)*D33)*E33</f>
        <v>178.23750000000001</v>
      </c>
      <c r="I33" s="13">
        <f>0.0792*POWER(C33,2)</f>
        <v>126.72000000000001</v>
      </c>
      <c r="J33" s="13">
        <f>0.093*POWER(C33,2)-0.00226*POWER(C33,2)*D33</f>
        <v>112.64000000000001</v>
      </c>
      <c r="K33" s="13"/>
      <c r="L33" s="13"/>
      <c r="M33" s="13"/>
      <c r="N33" s="13">
        <f t="shared" si="3"/>
        <v>816.9575000000001</v>
      </c>
      <c r="O33" s="13">
        <f>0.106*POWER(C33,2)</f>
        <v>169.6</v>
      </c>
      <c r="P33" s="13">
        <f t="shared" si="1"/>
        <v>408.47875000000005</v>
      </c>
      <c r="Q33" s="13">
        <f t="shared" si="2"/>
        <v>84.8</v>
      </c>
    </row>
    <row r="34" spans="1:17" x14ac:dyDescent="0.2">
      <c r="A34" s="10" t="s">
        <v>94</v>
      </c>
      <c r="B34" s="11" t="s">
        <v>95</v>
      </c>
      <c r="C34" s="12">
        <v>40</v>
      </c>
      <c r="D34" s="12">
        <v>10</v>
      </c>
      <c r="E34" s="12">
        <f>IF(C34&gt;12.5,1,0)</f>
        <v>1</v>
      </c>
      <c r="F34" s="13">
        <f>0.0142*POWER(C34,2)*D34</f>
        <v>227.20000000000002</v>
      </c>
      <c r="G34" s="13"/>
      <c r="H34" s="13">
        <f>0.223*POWER((C34-12.5),2)*E34</f>
        <v>168.64375000000001</v>
      </c>
      <c r="I34" s="13">
        <f>0.23*C34*D34</f>
        <v>92.000000000000014</v>
      </c>
      <c r="J34" s="13">
        <f>0.221*C34*D34</f>
        <v>88.4</v>
      </c>
      <c r="K34" s="13"/>
      <c r="L34" s="13"/>
      <c r="M34" s="13"/>
      <c r="N34" s="13">
        <f t="shared" si="3"/>
        <v>576.24374999999998</v>
      </c>
      <c r="O34" s="13">
        <f>0.0211*POWER(C34,2.804)</f>
        <v>655.32791951357524</v>
      </c>
      <c r="P34" s="13">
        <f t="shared" si="1"/>
        <v>288.12187499999999</v>
      </c>
      <c r="Q34" s="13">
        <f t="shared" si="2"/>
        <v>327.66395975678762</v>
      </c>
    </row>
    <row r="35" spans="1:17" x14ac:dyDescent="0.2">
      <c r="A35" s="10" t="s">
        <v>96</v>
      </c>
      <c r="B35" s="11" t="s">
        <v>97</v>
      </c>
      <c r="C35" s="12">
        <v>40</v>
      </c>
      <c r="D35" s="12">
        <v>10</v>
      </c>
      <c r="E35" s="12"/>
      <c r="F35" s="13">
        <f>-3.824+0.01709*POWER(C35,2)*D35</f>
        <v>269.61599999999999</v>
      </c>
      <c r="G35" s="13">
        <f>0.00165*POWER(C35,2.392)*POWER(D35,0.761)</f>
        <v>64.656388622730887</v>
      </c>
      <c r="H35" s="13">
        <f>0.04649*POWER(C35,2.183)</f>
        <v>146.10211646294536</v>
      </c>
      <c r="I35" s="13"/>
      <c r="J35" s="13">
        <f>0.01246*POWER(C35,2.44)</f>
        <v>101.05188546563815</v>
      </c>
      <c r="K35" s="13">
        <f>0.01908*POWER(C35,2)</f>
        <v>30.527999999999999</v>
      </c>
      <c r="L35" s="13">
        <f>0.001016*POWER(C35,2)*D35</f>
        <v>16.256</v>
      </c>
      <c r="M35" s="13"/>
      <c r="N35" s="13">
        <f t="shared" si="3"/>
        <v>628.21039055131439</v>
      </c>
      <c r="O35" s="13">
        <f>1.042*POWER(C35,1.254)</f>
        <v>106.3777861994793</v>
      </c>
      <c r="P35" s="13">
        <f t="shared" si="1"/>
        <v>314.10519527565719</v>
      </c>
      <c r="Q35" s="13">
        <f t="shared" si="2"/>
        <v>53.188893099739651</v>
      </c>
    </row>
    <row r="36" spans="1:17" x14ac:dyDescent="0.2">
      <c r="A36" s="10" t="s">
        <v>30</v>
      </c>
      <c r="B36" s="11" t="s">
        <v>60</v>
      </c>
      <c r="C36" s="12">
        <v>40</v>
      </c>
      <c r="D36" s="12">
        <v>10</v>
      </c>
      <c r="E36" s="12"/>
      <c r="F36" s="13">
        <f>-3.824+0.01709*POWER(C36,2)*D36</f>
        <v>269.61599999999999</v>
      </c>
      <c r="G36" s="13">
        <f>0.00165*POWER(C36,2.392)*POWER(D36,0.761)</f>
        <v>64.656388622730887</v>
      </c>
      <c r="H36" s="13">
        <f>0.04649*POWER(C36,2.183)</f>
        <v>146.10211646294536</v>
      </c>
      <c r="I36" s="13"/>
      <c r="J36" s="13">
        <f>0.01246*POWER(C36,2.44)</f>
        <v>101.05188546563815</v>
      </c>
      <c r="K36" s="13">
        <f>0.01908*POWER(C36,2)</f>
        <v>30.527999999999999</v>
      </c>
      <c r="L36" s="13">
        <f>0.001016*POWER(C36,2)*D36</f>
        <v>16.256</v>
      </c>
      <c r="M36" s="13"/>
      <c r="N36" s="13">
        <f t="shared" si="3"/>
        <v>628.21039055131439</v>
      </c>
      <c r="O36" s="13">
        <f>1.042*POWER(C36,1.254)</f>
        <v>106.3777861994793</v>
      </c>
      <c r="P36" s="13">
        <f t="shared" si="1"/>
        <v>314.10519527565719</v>
      </c>
      <c r="Q36" s="13">
        <f t="shared" si="2"/>
        <v>53.188893099739651</v>
      </c>
    </row>
    <row r="37" spans="1:17" x14ac:dyDescent="0.2">
      <c r="A37" s="10" t="s">
        <v>29</v>
      </c>
      <c r="B37" s="11" t="s">
        <v>59</v>
      </c>
      <c r="C37" s="12">
        <v>40</v>
      </c>
      <c r="D37" s="12">
        <v>10</v>
      </c>
      <c r="E37" s="12">
        <f>IF(C37&gt;22.5,1,0)</f>
        <v>1</v>
      </c>
      <c r="F37" s="13">
        <f>0.0676*POWER(C37,2)+0.0182*POWER(C37,2)*D37</f>
        <v>399.36</v>
      </c>
      <c r="G37" s="13"/>
      <c r="H37" s="13">
        <f>(0.83*POWER((C37-22.5),2)-0.0248*POWER((C37-22.5),2)*D37)*E37</f>
        <v>178.23750000000001</v>
      </c>
      <c r="I37" s="13">
        <f>0.0792*POWER(C37,2)</f>
        <v>126.72000000000001</v>
      </c>
      <c r="J37" s="13">
        <f>0.093*POWER(C37,2)-0.00226*POWER(C37,2)*D37</f>
        <v>112.64000000000001</v>
      </c>
      <c r="K37" s="13"/>
      <c r="L37" s="13"/>
      <c r="M37" s="13"/>
      <c r="N37" s="13">
        <f t="shared" si="3"/>
        <v>816.9575000000001</v>
      </c>
      <c r="O37" s="13">
        <f>0.106*POWER(C37,2)</f>
        <v>169.6</v>
      </c>
      <c r="P37" s="13">
        <f t="shared" si="1"/>
        <v>408.47875000000005</v>
      </c>
      <c r="Q37" s="13">
        <f t="shared" si="2"/>
        <v>84.8</v>
      </c>
    </row>
    <row r="38" spans="1:17" x14ac:dyDescent="0.2">
      <c r="A38" s="10" t="s">
        <v>98</v>
      </c>
      <c r="B38" s="11" t="s">
        <v>99</v>
      </c>
      <c r="C38" s="12">
        <v>40</v>
      </c>
      <c r="D38" s="12">
        <v>10</v>
      </c>
      <c r="E38" s="12">
        <f>IF(C38&gt;22.5,1,0)</f>
        <v>1</v>
      </c>
      <c r="F38" s="13">
        <f>0.0676*POWER(C38,2)+0.0182*POWER(C38,2)*D38</f>
        <v>399.36</v>
      </c>
      <c r="G38" s="13"/>
      <c r="H38" s="13">
        <f>(0.83*POWER((C38-22.5),2)-0.0248*POWER((C38-22.5),2)*D38)*E38</f>
        <v>178.23750000000001</v>
      </c>
      <c r="I38" s="13">
        <f>0.0792*POWER(C38,2)</f>
        <v>126.72000000000001</v>
      </c>
      <c r="J38" s="13">
        <f>0.093*POWER(C38,2)-0.00226*POWER(C38,2)*D38</f>
        <v>112.64000000000001</v>
      </c>
      <c r="K38" s="13"/>
      <c r="L38" s="13"/>
      <c r="M38" s="13"/>
      <c r="N38" s="13">
        <f t="shared" si="3"/>
        <v>816.9575000000001</v>
      </c>
      <c r="O38" s="13">
        <f>0.106*POWER(C38,2)</f>
        <v>169.6</v>
      </c>
      <c r="P38" s="13">
        <f t="shared" si="1"/>
        <v>408.47875000000005</v>
      </c>
      <c r="Q38" s="13">
        <f t="shared" si="2"/>
        <v>84.8</v>
      </c>
    </row>
    <row r="39" spans="1:17" x14ac:dyDescent="0.2">
      <c r="A39" s="10" t="s">
        <v>38</v>
      </c>
      <c r="B39" s="11" t="s">
        <v>51</v>
      </c>
      <c r="C39" s="12">
        <v>40</v>
      </c>
      <c r="D39" s="12">
        <v>10</v>
      </c>
      <c r="E39" s="12">
        <f>IF(C39&gt;12.5,1,0)</f>
        <v>1</v>
      </c>
      <c r="F39" s="13">
        <f>0.143*POWER(C39,2)</f>
        <v>228.79999999999998</v>
      </c>
      <c r="G39" s="13"/>
      <c r="H39" s="13">
        <f>(0.0684*POWER((C39-12.5),2)*D39)*E39</f>
        <v>517.27499999999998</v>
      </c>
      <c r="I39" s="13">
        <f>0.0898*POWER(C39,2)</f>
        <v>143.68</v>
      </c>
      <c r="J39" s="13">
        <f>0.0823*POWER(C39,2)</f>
        <v>131.68</v>
      </c>
      <c r="K39" s="13"/>
      <c r="L39" s="13"/>
      <c r="M39" s="13"/>
      <c r="N39" s="13">
        <f t="shared" si="3"/>
        <v>1021.4349999999999</v>
      </c>
      <c r="O39" s="13">
        <f>0.254*POWER(C39,2)</f>
        <v>406.4</v>
      </c>
      <c r="P39" s="13">
        <f t="shared" si="1"/>
        <v>510.71749999999997</v>
      </c>
      <c r="Q39" s="13">
        <f t="shared" si="2"/>
        <v>203.2</v>
      </c>
    </row>
    <row r="40" spans="1:17" x14ac:dyDescent="0.2">
      <c r="A40" s="10" t="s">
        <v>25</v>
      </c>
      <c r="B40" s="11" t="s">
        <v>52</v>
      </c>
      <c r="C40" s="12">
        <v>40</v>
      </c>
      <c r="D40" s="12">
        <v>10</v>
      </c>
      <c r="E40" s="12">
        <f>IF(C40&gt;12.5,1,0)</f>
        <v>1</v>
      </c>
      <c r="F40" s="13">
        <f>0.143*POWER(C40,2)</f>
        <v>228.79999999999998</v>
      </c>
      <c r="G40" s="13"/>
      <c r="H40" s="13">
        <f>(0.0684*POWER((C40-12.5),2)*D40)*E40</f>
        <v>517.27499999999998</v>
      </c>
      <c r="I40" s="13">
        <f>0.0898*POWER(C40,2)</f>
        <v>143.68</v>
      </c>
      <c r="J40" s="13">
        <f>0.0823*POWER(C40,2)</f>
        <v>131.68</v>
      </c>
      <c r="K40" s="13"/>
      <c r="L40" s="13"/>
      <c r="M40" s="13"/>
      <c r="N40" s="13">
        <f t="shared" si="3"/>
        <v>1021.4349999999999</v>
      </c>
      <c r="O40" s="13">
        <f>0.254*POWER(C40,2)</f>
        <v>406.4</v>
      </c>
      <c r="P40" s="13">
        <f t="shared" si="1"/>
        <v>510.71749999999997</v>
      </c>
      <c r="Q40" s="13">
        <f t="shared" si="2"/>
        <v>203.2</v>
      </c>
    </row>
    <row r="41" spans="1:17" x14ac:dyDescent="0.2">
      <c r="A41" s="10" t="s">
        <v>100</v>
      </c>
      <c r="B41" s="11" t="s">
        <v>101</v>
      </c>
      <c r="C41" s="12">
        <v>40</v>
      </c>
      <c r="D41" s="12">
        <v>10</v>
      </c>
      <c r="E41" s="12"/>
      <c r="F41" s="13">
        <f>0.154*POWER(C41,2)</f>
        <v>246.4</v>
      </c>
      <c r="G41" s="13"/>
      <c r="H41" s="13">
        <f>0.0861*POWER(C41,2)</f>
        <v>137.76</v>
      </c>
      <c r="I41" s="13">
        <f>0.127*POWER(C41,2)-0.00598*POWER(C41,2)*D41</f>
        <v>107.52</v>
      </c>
      <c r="J41" s="13">
        <f>0.0726*POWER(C41,2)-0.00275*POWER(C41,2)*D41</f>
        <v>72.16</v>
      </c>
      <c r="K41" s="13"/>
      <c r="L41" s="13"/>
      <c r="M41" s="13"/>
      <c r="N41" s="13">
        <f t="shared" si="3"/>
        <v>563.83999999999992</v>
      </c>
      <c r="O41" s="13">
        <f>0.169*POWER(C41,2)</f>
        <v>270.40000000000003</v>
      </c>
      <c r="P41" s="13">
        <f t="shared" si="1"/>
        <v>281.91999999999996</v>
      </c>
      <c r="Q41" s="13">
        <f t="shared" si="2"/>
        <v>135.20000000000002</v>
      </c>
    </row>
    <row r="42" spans="1:17" x14ac:dyDescent="0.2">
      <c r="A42" s="10" t="s">
        <v>34</v>
      </c>
      <c r="B42" s="11" t="s">
        <v>65</v>
      </c>
      <c r="C42" s="12">
        <v>40</v>
      </c>
      <c r="D42" s="12">
        <v>10</v>
      </c>
      <c r="E42" s="12">
        <f>IF(C42&gt;12.5,1,0)</f>
        <v>1</v>
      </c>
      <c r="F42" s="13">
        <f>0.0296*POWER(C42,2)*D42</f>
        <v>473.6</v>
      </c>
      <c r="G42" s="13"/>
      <c r="H42" s="13">
        <f>0.231*POWER((C42-12.5),2)*E42</f>
        <v>174.69374999999999</v>
      </c>
      <c r="I42" s="13">
        <f>0.0925*POWER(C42,2)</f>
        <v>148</v>
      </c>
      <c r="J42" s="13">
        <f>2.005*C42</f>
        <v>80.199999999999989</v>
      </c>
      <c r="K42" s="13"/>
      <c r="L42" s="13"/>
      <c r="M42" s="13"/>
      <c r="N42" s="13">
        <f t="shared" si="3"/>
        <v>876.49375000000009</v>
      </c>
      <c r="O42" s="13">
        <f>0.359*POWER(C42,2)</f>
        <v>574.4</v>
      </c>
      <c r="P42" s="13">
        <f t="shared" ref="P42:P61" si="4">N42/2</f>
        <v>438.24687500000005</v>
      </c>
      <c r="Q42" s="13">
        <f t="shared" ref="Q42:Q61" si="5">O42/2</f>
        <v>287.2</v>
      </c>
    </row>
    <row r="43" spans="1:17" x14ac:dyDescent="0.2">
      <c r="A43" s="10" t="s">
        <v>35</v>
      </c>
      <c r="B43" s="11" t="s">
        <v>66</v>
      </c>
      <c r="C43" s="12">
        <v>40</v>
      </c>
      <c r="D43" s="12">
        <v>10</v>
      </c>
      <c r="E43" s="12">
        <f>IF(C43&gt;12.5,1,0)</f>
        <v>1</v>
      </c>
      <c r="F43" s="13">
        <f>0.0296*POWER(C43,2)*D43</f>
        <v>473.6</v>
      </c>
      <c r="G43" s="13"/>
      <c r="H43" s="13">
        <f>0.231*POWER((C43-12.5),2)*E43</f>
        <v>174.69374999999999</v>
      </c>
      <c r="I43" s="13">
        <f>0.0925*POWER(C43,2)</f>
        <v>148</v>
      </c>
      <c r="J43" s="13">
        <f>2.005*C43</f>
        <v>80.199999999999989</v>
      </c>
      <c r="K43" s="13"/>
      <c r="L43" s="13"/>
      <c r="M43" s="13"/>
      <c r="N43" s="13">
        <f t="shared" si="3"/>
        <v>876.49375000000009</v>
      </c>
      <c r="O43" s="13">
        <f>0.359*POWER(C43,2)</f>
        <v>574.4</v>
      </c>
      <c r="P43" s="13">
        <f t="shared" si="4"/>
        <v>438.24687500000005</v>
      </c>
      <c r="Q43" s="13">
        <f t="shared" si="5"/>
        <v>287.2</v>
      </c>
    </row>
    <row r="44" spans="1:17" x14ac:dyDescent="0.2">
      <c r="A44" s="10" t="s">
        <v>28</v>
      </c>
      <c r="B44" s="11" t="s">
        <v>57</v>
      </c>
      <c r="C44" s="12">
        <v>40</v>
      </c>
      <c r="D44" s="12">
        <v>10</v>
      </c>
      <c r="E44" s="12">
        <f>IF(C44&gt;22.5,1,0)</f>
        <v>1</v>
      </c>
      <c r="F44" s="13">
        <f>0.013*POWER(C44,2)*D44</f>
        <v>208</v>
      </c>
      <c r="G44" s="13"/>
      <c r="H44" s="13">
        <f>(0.538*POWER((C44-22.5),2)-0.013*POWER((C44-22.5),2)*D44)*E44</f>
        <v>124.95000000000002</v>
      </c>
      <c r="I44" s="13">
        <f>0.0385*POWER(C44,2)</f>
        <v>61.6</v>
      </c>
      <c r="J44" s="13">
        <f>0.0774*POWER(C44,2)-0.00198*POWER(C44,2)*D44</f>
        <v>92.16</v>
      </c>
      <c r="K44" s="13"/>
      <c r="L44" s="13"/>
      <c r="M44" s="13"/>
      <c r="N44" s="13">
        <f t="shared" si="3"/>
        <v>486.71000000000004</v>
      </c>
      <c r="O44" s="13">
        <f>0.122*POWER(C44,2)</f>
        <v>195.2</v>
      </c>
      <c r="P44" s="13">
        <f t="shared" si="4"/>
        <v>243.35500000000002</v>
      </c>
      <c r="Q44" s="13">
        <f t="shared" si="5"/>
        <v>97.6</v>
      </c>
    </row>
    <row r="45" spans="1:17" x14ac:dyDescent="0.2">
      <c r="A45" s="10" t="s">
        <v>102</v>
      </c>
      <c r="B45" s="11" t="s">
        <v>103</v>
      </c>
      <c r="C45" s="12">
        <v>40</v>
      </c>
      <c r="D45" s="12">
        <v>10</v>
      </c>
      <c r="E45" s="12"/>
      <c r="F45" s="13">
        <f>-3.824+0.01709*POWER(C45,2)*D45</f>
        <v>269.61599999999999</v>
      </c>
      <c r="G45" s="13">
        <f>0.00165*POWER(C45,2.392)*POWER(D45,0.761)</f>
        <v>64.656388622730887</v>
      </c>
      <c r="H45" s="13">
        <f>0.04649*POWER(C45,2.183)</f>
        <v>146.10211646294536</v>
      </c>
      <c r="I45" s="13"/>
      <c r="J45" s="13">
        <f>0.01246*POWER(C45,2.44)</f>
        <v>101.05188546563815</v>
      </c>
      <c r="K45" s="13">
        <f>0.01908*POWER(C45,2)</f>
        <v>30.527999999999999</v>
      </c>
      <c r="L45" s="13">
        <f>0.001016*POWER(C45,2)*D45</f>
        <v>16.256</v>
      </c>
      <c r="M45" s="13"/>
      <c r="N45" s="13">
        <f t="shared" si="3"/>
        <v>628.21039055131439</v>
      </c>
      <c r="O45" s="13">
        <f>1.042*POWER(C45,1.254)</f>
        <v>106.3777861994793</v>
      </c>
      <c r="P45" s="13">
        <f t="shared" si="4"/>
        <v>314.10519527565719</v>
      </c>
      <c r="Q45" s="13">
        <f t="shared" si="5"/>
        <v>53.188893099739651</v>
      </c>
    </row>
    <row r="46" spans="1:17" x14ac:dyDescent="0.2">
      <c r="A46" s="10" t="s">
        <v>104</v>
      </c>
      <c r="B46" s="11" t="s">
        <v>105</v>
      </c>
      <c r="C46" s="12">
        <v>40</v>
      </c>
      <c r="D46" s="12">
        <v>10</v>
      </c>
      <c r="E46" s="12">
        <f>IF(C46&gt;22.5,1,0)</f>
        <v>1</v>
      </c>
      <c r="F46" s="13">
        <f>0.0676*POWER(C46,2)+0.0182*POWER(C46,2)*D46</f>
        <v>399.36</v>
      </c>
      <c r="G46" s="13"/>
      <c r="H46" s="13">
        <f>(0.83*POWER((C46-22.5),2)-0.0248*POWER((C46-22.5),2)*D46)*E46</f>
        <v>178.23750000000001</v>
      </c>
      <c r="I46" s="13">
        <f>0.0792*POWER(C46,2)</f>
        <v>126.72000000000001</v>
      </c>
      <c r="J46" s="13">
        <f>0.093*POWER(C46,2)-0.00226*POWER(C46,2)*D46</f>
        <v>112.64000000000001</v>
      </c>
      <c r="K46" s="13"/>
      <c r="L46" s="13"/>
      <c r="M46" s="13"/>
      <c r="N46" s="13">
        <f t="shared" si="3"/>
        <v>816.9575000000001</v>
      </c>
      <c r="O46" s="13">
        <f>0.106*POWER(C46,2)</f>
        <v>169.6</v>
      </c>
      <c r="P46" s="13">
        <f t="shared" si="4"/>
        <v>408.47875000000005</v>
      </c>
      <c r="Q46" s="13">
        <f t="shared" si="5"/>
        <v>84.8</v>
      </c>
    </row>
    <row r="47" spans="1:17" x14ac:dyDescent="0.2">
      <c r="A47" s="10" t="s">
        <v>106</v>
      </c>
      <c r="B47" s="11" t="s">
        <v>107</v>
      </c>
      <c r="C47" s="12">
        <v>40</v>
      </c>
      <c r="D47" s="12">
        <v>10</v>
      </c>
      <c r="E47" s="12"/>
      <c r="F47" s="13">
        <f>0.0191*POWER(C47,2)*D47</f>
        <v>305.59999999999997</v>
      </c>
      <c r="G47" s="13"/>
      <c r="H47" s="13">
        <f>0.0512*POWER(C47,2)</f>
        <v>81.92</v>
      </c>
      <c r="I47" s="13"/>
      <c r="J47" s="13">
        <f>0.0567*C47*D47</f>
        <v>22.68</v>
      </c>
      <c r="K47" s="13"/>
      <c r="L47" s="13"/>
      <c r="M47" s="13"/>
      <c r="N47" s="13">
        <f t="shared" si="3"/>
        <v>410.2</v>
      </c>
      <c r="O47" s="13">
        <f>0.214*POWER(C47,2)</f>
        <v>342.4</v>
      </c>
      <c r="P47" s="13">
        <f t="shared" si="4"/>
        <v>205.1</v>
      </c>
      <c r="Q47" s="13">
        <f t="shared" si="5"/>
        <v>171.2</v>
      </c>
    </row>
    <row r="48" spans="1:17" x14ac:dyDescent="0.2">
      <c r="A48" s="10" t="s">
        <v>36</v>
      </c>
      <c r="B48" s="11" t="s">
        <v>67</v>
      </c>
      <c r="C48" s="12">
        <v>40</v>
      </c>
      <c r="D48" s="12">
        <v>10</v>
      </c>
      <c r="E48" s="12">
        <f>IF(C48&gt;12.5,1,0)</f>
        <v>1</v>
      </c>
      <c r="F48" s="13">
        <f>0.0296*POWER(C48,2)*D48</f>
        <v>473.6</v>
      </c>
      <c r="G48" s="13"/>
      <c r="H48" s="13">
        <f>0.231*POWER((C48-12.5),2)*E48</f>
        <v>174.69374999999999</v>
      </c>
      <c r="I48" s="13">
        <f>0.0925*POWER(C48,2)</f>
        <v>148</v>
      </c>
      <c r="J48" s="13">
        <f>2.005*C48</f>
        <v>80.199999999999989</v>
      </c>
      <c r="K48" s="13"/>
      <c r="L48" s="13"/>
      <c r="M48" s="13"/>
      <c r="N48" s="13">
        <f t="shared" si="3"/>
        <v>876.49375000000009</v>
      </c>
      <c r="O48" s="13">
        <f>0.359*POWER(C48,2)</f>
        <v>574.4</v>
      </c>
      <c r="P48" s="13">
        <f t="shared" si="4"/>
        <v>438.24687500000005</v>
      </c>
      <c r="Q48" s="13">
        <f t="shared" si="5"/>
        <v>287.2</v>
      </c>
    </row>
    <row r="49" spans="1:17" x14ac:dyDescent="0.2">
      <c r="A49" s="10" t="s">
        <v>108</v>
      </c>
      <c r="B49" s="11" t="s">
        <v>109</v>
      </c>
      <c r="C49" s="12">
        <v>40</v>
      </c>
      <c r="D49" s="12">
        <v>10</v>
      </c>
      <c r="E49" s="12"/>
      <c r="F49" s="13">
        <f>-3.824+0.01709*POWER(C49,2)*D49</f>
        <v>269.61599999999999</v>
      </c>
      <c r="G49" s="13">
        <f>0.00165*POWER(C49,2.392)*POWER(D49,0.761)</f>
        <v>64.656388622730887</v>
      </c>
      <c r="H49" s="13">
        <f>0.04649*POWER(C49,2.183)</f>
        <v>146.10211646294536</v>
      </c>
      <c r="I49" s="13"/>
      <c r="J49" s="13">
        <f>0.01246*POWER(C49,2.44)</f>
        <v>101.05188546563815</v>
      </c>
      <c r="K49" s="13">
        <f>0.01908*POWER(C49,2)</f>
        <v>30.527999999999999</v>
      </c>
      <c r="L49" s="13">
        <f>0.001016*POWER(C49,2)*D49</f>
        <v>16.256</v>
      </c>
      <c r="M49" s="13"/>
      <c r="N49" s="13">
        <f t="shared" si="3"/>
        <v>628.21039055131439</v>
      </c>
      <c r="O49" s="13">
        <f>1.042*POWER(C49,1.254)</f>
        <v>106.3777861994793</v>
      </c>
      <c r="P49" s="13">
        <f t="shared" si="4"/>
        <v>314.10519527565719</v>
      </c>
      <c r="Q49" s="13">
        <f t="shared" si="5"/>
        <v>53.188893099739651</v>
      </c>
    </row>
    <row r="50" spans="1:17" x14ac:dyDescent="0.2">
      <c r="A50" s="10" t="s">
        <v>110</v>
      </c>
      <c r="B50" s="11" t="s">
        <v>111</v>
      </c>
      <c r="C50" s="12">
        <v>40</v>
      </c>
      <c r="D50" s="12">
        <v>10</v>
      </c>
      <c r="E50" s="12">
        <f>IF(C50&gt;22.5,1,0)</f>
        <v>1</v>
      </c>
      <c r="F50" s="13">
        <f>0.0676*POWER(C50,2)+0.0182*POWER(C50,2)*D50</f>
        <v>399.36</v>
      </c>
      <c r="G50" s="13"/>
      <c r="H50" s="13">
        <f>(0.83*POWER((C50-22.5),2)-0.0248*POWER((C50-22.5),2)*D50)*E50</f>
        <v>178.23750000000001</v>
      </c>
      <c r="I50" s="13">
        <f>0.0792*POWER(C50,2)</f>
        <v>126.72000000000001</v>
      </c>
      <c r="J50" s="13">
        <f>0.093*POWER(C50,2)-0.00226*POWER(C50,2)*D50</f>
        <v>112.64000000000001</v>
      </c>
      <c r="K50" s="13"/>
      <c r="L50" s="13"/>
      <c r="M50" s="13"/>
      <c r="N50" s="13">
        <f t="shared" si="3"/>
        <v>816.9575000000001</v>
      </c>
      <c r="O50" s="13">
        <f>0.106*POWER(C50,2)</f>
        <v>169.6</v>
      </c>
      <c r="P50" s="13">
        <f t="shared" si="4"/>
        <v>408.47875000000005</v>
      </c>
      <c r="Q50" s="13">
        <f t="shared" si="5"/>
        <v>84.8</v>
      </c>
    </row>
    <row r="51" spans="1:17" x14ac:dyDescent="0.2">
      <c r="A51" s="10" t="s">
        <v>112</v>
      </c>
      <c r="B51" s="11" t="s">
        <v>113</v>
      </c>
      <c r="C51" s="12">
        <v>40</v>
      </c>
      <c r="D51" s="12">
        <v>10</v>
      </c>
      <c r="E51" s="12"/>
      <c r="F51" s="13">
        <f>0.0191*POWER(C51,2)*D51</f>
        <v>305.59999999999997</v>
      </c>
      <c r="G51" s="13"/>
      <c r="H51" s="13">
        <f>0.0512*POWER(C51,2)</f>
        <v>81.92</v>
      </c>
      <c r="I51" s="13"/>
      <c r="J51" s="13">
        <f>0.0567*C51*D51</f>
        <v>22.68</v>
      </c>
      <c r="K51" s="13"/>
      <c r="L51" s="13"/>
      <c r="M51" s="13"/>
      <c r="N51" s="13">
        <f t="shared" si="3"/>
        <v>410.2</v>
      </c>
      <c r="O51" s="13">
        <f>0.214*POWER(C51,2)</f>
        <v>342.4</v>
      </c>
      <c r="P51" s="13">
        <f t="shared" si="4"/>
        <v>205.1</v>
      </c>
      <c r="Q51" s="13">
        <f t="shared" si="5"/>
        <v>171.2</v>
      </c>
    </row>
    <row r="52" spans="1:17" x14ac:dyDescent="0.2">
      <c r="A52" s="10" t="s">
        <v>114</v>
      </c>
      <c r="B52" s="11" t="s">
        <v>115</v>
      </c>
      <c r="C52" s="12">
        <v>40</v>
      </c>
      <c r="D52" s="12">
        <v>10</v>
      </c>
      <c r="E52" s="12">
        <f>IF(C52&gt;12.5,1,0)</f>
        <v>1</v>
      </c>
      <c r="F52" s="13">
        <f>0.0296*POWER(C52,2)*D52</f>
        <v>473.6</v>
      </c>
      <c r="G52" s="13"/>
      <c r="H52" s="13">
        <f>0.231*POWER((C52-12.5),2)*E52</f>
        <v>174.69374999999999</v>
      </c>
      <c r="I52" s="13">
        <f>0.0925*POWER(C52,2)</f>
        <v>148</v>
      </c>
      <c r="J52" s="13">
        <f>2.005*C52</f>
        <v>80.199999999999989</v>
      </c>
      <c r="K52" s="13"/>
      <c r="L52" s="13"/>
      <c r="M52" s="13"/>
      <c r="N52" s="13">
        <f t="shared" si="3"/>
        <v>876.49375000000009</v>
      </c>
      <c r="O52" s="13">
        <f>0.359*POWER(C52,2)</f>
        <v>574.4</v>
      </c>
      <c r="P52" s="13">
        <f t="shared" si="4"/>
        <v>438.24687500000005</v>
      </c>
      <c r="Q52" s="13">
        <f t="shared" si="5"/>
        <v>287.2</v>
      </c>
    </row>
    <row r="53" spans="1:17" x14ac:dyDescent="0.2">
      <c r="A53" s="10" t="s">
        <v>116</v>
      </c>
      <c r="B53" s="11" t="s">
        <v>117</v>
      </c>
      <c r="C53" s="12">
        <v>40</v>
      </c>
      <c r="D53" s="12">
        <v>10</v>
      </c>
      <c r="E53" s="12">
        <f>IF(C53&gt;22.5,1,0)</f>
        <v>1</v>
      </c>
      <c r="F53" s="13">
        <f>0.0132*POWER(C53,2)*D53+0.217*C53*D53</f>
        <v>298</v>
      </c>
      <c r="G53" s="13"/>
      <c r="H53" s="13">
        <f>0.107*POWER((C53-22.5),2)*E53</f>
        <v>32.768749999999997</v>
      </c>
      <c r="I53" s="13">
        <f>0.00792*POWER(C53,2)*D53</f>
        <v>126.72</v>
      </c>
      <c r="J53" s="13">
        <f>0.273*C53*D53</f>
        <v>109.20000000000002</v>
      </c>
      <c r="K53" s="13"/>
      <c r="L53" s="13"/>
      <c r="M53" s="13"/>
      <c r="N53" s="13">
        <f t="shared" si="3"/>
        <v>566.68875000000003</v>
      </c>
      <c r="O53" s="13">
        <f>0.0767*POWER(C53,2)</f>
        <v>122.72000000000001</v>
      </c>
      <c r="P53" s="13">
        <f t="shared" si="4"/>
        <v>283.34437500000001</v>
      </c>
      <c r="Q53" s="13">
        <f t="shared" si="5"/>
        <v>61.360000000000007</v>
      </c>
    </row>
    <row r="54" spans="1:17" x14ac:dyDescent="0.2">
      <c r="A54" s="10" t="s">
        <v>118</v>
      </c>
      <c r="B54" s="11" t="s">
        <v>119</v>
      </c>
      <c r="C54" s="12">
        <v>40</v>
      </c>
      <c r="D54" s="12">
        <v>10</v>
      </c>
      <c r="E54" s="12"/>
      <c r="F54" s="13">
        <f>0.0114*POWER(C54,2)*D54</f>
        <v>182.40000000000003</v>
      </c>
      <c r="G54" s="13"/>
      <c r="H54" s="13">
        <f>0.0108*POWER(C54,2)*D54</f>
        <v>172.8</v>
      </c>
      <c r="I54" s="13">
        <f>1.672*C54</f>
        <v>66.88</v>
      </c>
      <c r="J54" s="13">
        <f>0.0354*POWER(C54,2)+1.187*D54</f>
        <v>68.510000000000005</v>
      </c>
      <c r="K54" s="13"/>
      <c r="L54" s="13"/>
      <c r="M54" s="13"/>
      <c r="N54" s="13">
        <f t="shared" si="3"/>
        <v>490.59000000000003</v>
      </c>
      <c r="O54" s="13">
        <f>0.147*POWER(C54,2)</f>
        <v>235.2</v>
      </c>
      <c r="P54" s="13">
        <f t="shared" si="4"/>
        <v>245.29500000000002</v>
      </c>
      <c r="Q54" s="13">
        <f t="shared" si="5"/>
        <v>117.6</v>
      </c>
    </row>
    <row r="55" spans="1:17" x14ac:dyDescent="0.2">
      <c r="A55" s="10" t="s">
        <v>39</v>
      </c>
      <c r="B55" s="11" t="s">
        <v>54</v>
      </c>
      <c r="C55" s="12">
        <v>40</v>
      </c>
      <c r="D55" s="12">
        <v>10</v>
      </c>
      <c r="E55" s="12"/>
      <c r="F55" s="13">
        <f>0.0191*POWER(C55,2)*D55</f>
        <v>305.59999999999997</v>
      </c>
      <c r="G55" s="13"/>
      <c r="H55" s="13">
        <f>0.0512*POWER(C55,2)</f>
        <v>81.92</v>
      </c>
      <c r="I55" s="13"/>
      <c r="J55" s="13">
        <f>0.0567*C55*D55</f>
        <v>22.68</v>
      </c>
      <c r="K55" s="13"/>
      <c r="L55" s="13"/>
      <c r="M55" s="13"/>
      <c r="N55" s="13">
        <f t="shared" si="3"/>
        <v>410.2</v>
      </c>
      <c r="O55" s="13">
        <f>0.214*POWER(C55,2)</f>
        <v>342.4</v>
      </c>
      <c r="P55" s="13">
        <f t="shared" si="4"/>
        <v>205.1</v>
      </c>
      <c r="Q55" s="13">
        <f t="shared" si="5"/>
        <v>171.2</v>
      </c>
    </row>
    <row r="56" spans="1:17" x14ac:dyDescent="0.2">
      <c r="A56" s="10" t="s">
        <v>120</v>
      </c>
      <c r="B56" s="11" t="s">
        <v>68</v>
      </c>
      <c r="C56" s="12">
        <v>40</v>
      </c>
      <c r="D56" s="12">
        <v>10</v>
      </c>
      <c r="E56" s="12"/>
      <c r="F56" s="13">
        <f>0.0278*POWER(C56,2.115)*POWER(D56,0.618)</f>
        <v>282.09908504618613</v>
      </c>
      <c r="G56" s="13"/>
      <c r="H56" s="13">
        <f>0.000381*POWER(C56,3.141)</f>
        <v>41.019976614097203</v>
      </c>
      <c r="I56" s="13"/>
      <c r="J56" s="13">
        <f>0.0129*POWER(C56,2.32)</f>
        <v>67.19994075655427</v>
      </c>
      <c r="K56" s="13"/>
      <c r="L56" s="13"/>
      <c r="M56" s="13"/>
      <c r="N56" s="13">
        <f t="shared" si="3"/>
        <v>390.31900241683763</v>
      </c>
      <c r="O56" s="13">
        <f>0.00444*POWER(C56,2.804)</f>
        <v>137.8983868549893</v>
      </c>
      <c r="P56" s="13">
        <f t="shared" si="4"/>
        <v>195.15950120841882</v>
      </c>
      <c r="Q56" s="13">
        <f t="shared" si="5"/>
        <v>68.949193427494649</v>
      </c>
    </row>
    <row r="57" spans="1:17" x14ac:dyDescent="0.2">
      <c r="A57" s="10" t="s">
        <v>121</v>
      </c>
      <c r="B57" s="11" t="s">
        <v>122</v>
      </c>
      <c r="C57" s="12">
        <v>40</v>
      </c>
      <c r="D57" s="12">
        <v>10</v>
      </c>
      <c r="E57" s="12">
        <f>IF(C57&gt;12.5,1,0)</f>
        <v>1</v>
      </c>
      <c r="F57" s="13">
        <f>0.0296*POWER(C57,2)*D57</f>
        <v>473.6</v>
      </c>
      <c r="G57" s="13"/>
      <c r="H57" s="13">
        <f>0.231*POWER((C57-12.5),2)*E57</f>
        <v>174.69374999999999</v>
      </c>
      <c r="I57" s="13">
        <f>0.0925*POWER(C57,2)</f>
        <v>148</v>
      </c>
      <c r="J57" s="13">
        <f>2.005*C57</f>
        <v>80.199999999999989</v>
      </c>
      <c r="K57" s="13"/>
      <c r="L57" s="13"/>
      <c r="M57" s="13"/>
      <c r="N57" s="13">
        <f t="shared" si="3"/>
        <v>876.49375000000009</v>
      </c>
      <c r="O57" s="13">
        <f>0.359*POWER(C57,2)</f>
        <v>574.4</v>
      </c>
      <c r="P57" s="13">
        <f t="shared" si="4"/>
        <v>438.24687500000005</v>
      </c>
      <c r="Q57" s="13">
        <f t="shared" si="5"/>
        <v>287.2</v>
      </c>
    </row>
    <row r="58" spans="1:17" x14ac:dyDescent="0.2">
      <c r="A58" s="10" t="s">
        <v>123</v>
      </c>
      <c r="B58" s="11" t="s">
        <v>69</v>
      </c>
      <c r="C58" s="12">
        <v>40</v>
      </c>
      <c r="D58" s="12">
        <v>10</v>
      </c>
      <c r="E58" s="12"/>
      <c r="F58" s="13">
        <f>0.0278*POWER(C58,2.115)*POWER(D58,0.618)</f>
        <v>282.09908504618613</v>
      </c>
      <c r="G58" s="13"/>
      <c r="H58" s="13">
        <f>0.000381*POWER(C58,3.141)</f>
        <v>41.019976614097203</v>
      </c>
      <c r="I58" s="13"/>
      <c r="J58" s="13">
        <f>0.0129*POWER(C58,2.32)</f>
        <v>67.19994075655427</v>
      </c>
      <c r="K58" s="13"/>
      <c r="L58" s="13"/>
      <c r="M58" s="13"/>
      <c r="N58" s="13">
        <f t="shared" si="3"/>
        <v>390.31900241683763</v>
      </c>
      <c r="O58" s="13">
        <f>0.00444*POWER(C58,2.804)</f>
        <v>137.8983868549893</v>
      </c>
      <c r="P58" s="13">
        <f t="shared" si="4"/>
        <v>195.15950120841882</v>
      </c>
      <c r="Q58" s="13">
        <f t="shared" si="5"/>
        <v>68.949193427494649</v>
      </c>
    </row>
    <row r="59" spans="1:17" x14ac:dyDescent="0.2">
      <c r="A59" s="10" t="s">
        <v>124</v>
      </c>
      <c r="B59" s="11" t="s">
        <v>125</v>
      </c>
      <c r="C59" s="12">
        <v>40</v>
      </c>
      <c r="D59" s="12">
        <v>10</v>
      </c>
      <c r="E59" s="12">
        <f>IF(C59&gt;12.5,1,0)</f>
        <v>1</v>
      </c>
      <c r="F59" s="13">
        <f>0.143*POWER(C59,2)</f>
        <v>228.79999999999998</v>
      </c>
      <c r="G59" s="13"/>
      <c r="H59" s="13">
        <f>(0.0684*POWER((C59-12.5),2)*D59)*E59</f>
        <v>517.27499999999998</v>
      </c>
      <c r="I59" s="13">
        <f>0.0898*POWER(C59,2)</f>
        <v>143.68</v>
      </c>
      <c r="J59" s="13">
        <f>0.0823*POWER(C59,2)</f>
        <v>131.68</v>
      </c>
      <c r="K59" s="13"/>
      <c r="L59" s="13"/>
      <c r="M59" s="13"/>
      <c r="N59" s="13">
        <f t="shared" si="3"/>
        <v>1021.4349999999999</v>
      </c>
      <c r="O59" s="13">
        <f>0.254*POWER(C59,2)</f>
        <v>406.4</v>
      </c>
      <c r="P59" s="13">
        <f t="shared" si="4"/>
        <v>510.71749999999997</v>
      </c>
      <c r="Q59" s="13">
        <f t="shared" si="5"/>
        <v>203.2</v>
      </c>
    </row>
    <row r="60" spans="1:17" x14ac:dyDescent="0.2">
      <c r="A60" s="10" t="s">
        <v>126</v>
      </c>
      <c r="B60" s="11" t="s">
        <v>70</v>
      </c>
      <c r="C60" s="12">
        <v>40</v>
      </c>
      <c r="D60" s="12">
        <v>10</v>
      </c>
      <c r="E60" s="12"/>
      <c r="F60" s="13">
        <f>0.0278*POWER(C60,2.115)*POWER(D60,0.618)</f>
        <v>282.09908504618613</v>
      </c>
      <c r="G60" s="13"/>
      <c r="H60" s="13">
        <f>0.000381*POWER(C60,3.141)</f>
        <v>41.019976614097203</v>
      </c>
      <c r="I60" s="13"/>
      <c r="J60" s="13">
        <f>0.0129*POWER(C60,2.32)</f>
        <v>67.19994075655427</v>
      </c>
      <c r="K60" s="13"/>
      <c r="L60" s="13"/>
      <c r="M60" s="13"/>
      <c r="N60" s="13">
        <f t="shared" si="3"/>
        <v>390.31900241683763</v>
      </c>
      <c r="O60" s="13">
        <f>0.00444*POWER(C60,2.804)</f>
        <v>137.8983868549893</v>
      </c>
      <c r="P60" s="13">
        <f t="shared" si="4"/>
        <v>195.15950120841882</v>
      </c>
      <c r="Q60" s="13">
        <f t="shared" si="5"/>
        <v>68.949193427494649</v>
      </c>
    </row>
    <row r="61" spans="1:17" x14ac:dyDescent="0.2">
      <c r="A61" s="10" t="s">
        <v>127</v>
      </c>
      <c r="B61" s="11" t="s">
        <v>128</v>
      </c>
      <c r="C61" s="12">
        <v>40</v>
      </c>
      <c r="D61" s="12">
        <v>10</v>
      </c>
      <c r="E61" s="12">
        <f>IF(C61&gt;12.5,1,0)</f>
        <v>1</v>
      </c>
      <c r="F61" s="13">
        <f>0.0296*POWER(C61,2)*D61</f>
        <v>473.6</v>
      </c>
      <c r="G61" s="13"/>
      <c r="H61" s="13">
        <f>0.231*POWER((C61-12.5),2)*E61</f>
        <v>174.69374999999999</v>
      </c>
      <c r="I61" s="13">
        <f>0.0925*POWER(C61,2)</f>
        <v>148</v>
      </c>
      <c r="J61" s="13">
        <f>2.005*C61</f>
        <v>80.199999999999989</v>
      </c>
      <c r="K61" s="13"/>
      <c r="L61" s="13"/>
      <c r="M61" s="13"/>
      <c r="N61" s="13">
        <f t="shared" si="3"/>
        <v>876.49375000000009</v>
      </c>
      <c r="O61" s="13">
        <f>0.359*POWER(C61,2)</f>
        <v>574.4</v>
      </c>
      <c r="P61" s="13">
        <f t="shared" si="4"/>
        <v>438.24687500000005</v>
      </c>
      <c r="Q61" s="13">
        <f t="shared" si="5"/>
        <v>287.2</v>
      </c>
    </row>
  </sheetData>
  <autoFilter ref="A6:Q41"/>
  <sortState ref="A7:Q49">
    <sortCondition ref="A7:A49"/>
  </sortState>
  <pageMargins left="0.75" right="0.75" top="1" bottom="1" header="0" footer="0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24-409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Luengo, Alvaro</dc:creator>
  <cp:lastModifiedBy>Sanchez Luengo, Alvaro</cp:lastModifiedBy>
  <dcterms:created xsi:type="dcterms:W3CDTF">2020-01-20T07:53:31Z</dcterms:created>
  <dcterms:modified xsi:type="dcterms:W3CDTF">2021-09-20T04:47:23Z</dcterms:modified>
</cp:coreProperties>
</file>