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4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1.xml" ContentType="application/vnd.openxmlformats-officedocument.drawingml.chart+xml"/>
  <Override PartName="/xl/drawings/drawing5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6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CFAFA6AE-75F1-4B1C-81FA-F553C34BB732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2026" sheetId="22" r:id="rId16"/>
    <sheet name="Evolución_Anual" sheetId="16" r:id="rId17"/>
    <sheet name="Impresión" sheetId="17" state="hidden" r:id="rId18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'2025'!$AB$32:$AQ$82</definedName>
    <definedName name="_xlnm.Print_Area" localSheetId="15">'2026'!$AB$32:$AQ$82</definedName>
    <definedName name="_xlnm.Print_Area" localSheetId="0">Carátula!$A$1:$H$41</definedName>
    <definedName name="_xlnm.Print_Area" localSheetId="16">Evolución_Anual!$A$1:$M$46</definedName>
    <definedName name="_xlnm.Print_Area" localSheetId="17">Impresión!$A$1:$R$45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6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5" l="1"/>
  <c r="M15" i="20"/>
  <c r="L15" i="20"/>
  <c r="K15" i="20"/>
  <c r="J15" i="20"/>
  <c r="I15" i="20"/>
  <c r="H15" i="20"/>
  <c r="G15" i="20"/>
  <c r="F15" i="20"/>
  <c r="E15" i="20"/>
  <c r="D15" i="20"/>
  <c r="C15" i="20"/>
  <c r="B15" i="20"/>
  <c r="AV6" i="22" l="1"/>
  <c r="B15" i="22"/>
  <c r="AV50" i="22"/>
  <c r="AU50" i="22"/>
  <c r="AV49" i="22"/>
  <c r="AU49" i="22"/>
  <c r="N49" i="22"/>
  <c r="AV48" i="22"/>
  <c r="AU48" i="22"/>
  <c r="N48" i="22"/>
  <c r="AV47" i="22"/>
  <c r="AU47" i="22"/>
  <c r="N47" i="22"/>
  <c r="AV46" i="22"/>
  <c r="AU46" i="22"/>
  <c r="N46" i="22"/>
  <c r="AV45" i="22"/>
  <c r="AU45" i="22"/>
  <c r="N45" i="22"/>
  <c r="AV44" i="22"/>
  <c r="AU44" i="22"/>
  <c r="N44" i="22"/>
  <c r="AV43" i="22"/>
  <c r="AU43" i="22"/>
  <c r="N43" i="22"/>
  <c r="AV42" i="22"/>
  <c r="AU42" i="22"/>
  <c r="N42" i="22"/>
  <c r="AV41" i="22"/>
  <c r="AU41" i="22"/>
  <c r="N41" i="22"/>
  <c r="AV40" i="22"/>
  <c r="AU40" i="22"/>
  <c r="N40" i="22"/>
  <c r="AV39" i="22"/>
  <c r="AU39" i="22"/>
  <c r="N39" i="22"/>
  <c r="AV38" i="22"/>
  <c r="AU38" i="22"/>
  <c r="N38" i="22"/>
  <c r="AV37" i="22"/>
  <c r="AU37" i="22"/>
  <c r="N37" i="22"/>
  <c r="AV36" i="22"/>
  <c r="AU36" i="22"/>
  <c r="N36" i="22"/>
  <c r="AV35" i="22"/>
  <c r="AU35" i="22"/>
  <c r="N35" i="22"/>
  <c r="AV34" i="22"/>
  <c r="AU34" i="22"/>
  <c r="N34" i="22"/>
  <c r="AV33" i="22"/>
  <c r="AU33" i="22"/>
  <c r="N33" i="22"/>
  <c r="AV32" i="22"/>
  <c r="AU32" i="22"/>
  <c r="N32" i="22"/>
  <c r="AV31" i="22"/>
  <c r="AU31" i="22"/>
  <c r="N31" i="22"/>
  <c r="AV30" i="22"/>
  <c r="AU30" i="22"/>
  <c r="N30" i="22"/>
  <c r="AV29" i="22"/>
  <c r="AU29" i="22"/>
  <c r="N29" i="22"/>
  <c r="AV28" i="22"/>
  <c r="AU28" i="22"/>
  <c r="N28" i="22"/>
  <c r="AV27" i="22"/>
  <c r="AU27" i="22"/>
  <c r="N27" i="22"/>
  <c r="AV26" i="22"/>
  <c r="AU26" i="22"/>
  <c r="N26" i="22"/>
  <c r="AV25" i="22"/>
  <c r="AU25" i="22"/>
  <c r="N25" i="22"/>
  <c r="AV24" i="22"/>
  <c r="AU24" i="22"/>
  <c r="N24" i="22"/>
  <c r="AV23" i="22"/>
  <c r="AU23" i="22"/>
  <c r="N23" i="22"/>
  <c r="AV22" i="22"/>
  <c r="AU22" i="22"/>
  <c r="N22" i="22"/>
  <c r="AV21" i="22"/>
  <c r="AU21" i="22"/>
  <c r="N21" i="22"/>
  <c r="AV20" i="22"/>
  <c r="AU20" i="22"/>
  <c r="N20" i="22"/>
  <c r="AV19" i="22"/>
  <c r="AU19" i="22"/>
  <c r="N19" i="22"/>
  <c r="AV18" i="22"/>
  <c r="AU18" i="22"/>
  <c r="N18" i="22"/>
  <c r="AV17" i="22"/>
  <c r="AU17" i="22"/>
  <c r="N17" i="22"/>
  <c r="N16" i="22"/>
  <c r="AV15" i="22"/>
  <c r="AU15" i="22"/>
  <c r="N15" i="22"/>
  <c r="AV14" i="22"/>
  <c r="AU14" i="22"/>
  <c r="N14" i="22"/>
  <c r="AV13" i="22"/>
  <c r="AU13" i="22"/>
  <c r="N13" i="22"/>
  <c r="AV12" i="22"/>
  <c r="AU12" i="22"/>
  <c r="N12" i="22"/>
  <c r="AV11" i="22"/>
  <c r="AU11" i="22"/>
  <c r="N11" i="22"/>
  <c r="N10" i="22"/>
  <c r="N9" i="22"/>
  <c r="AV8" i="22"/>
  <c r="AU8" i="22"/>
  <c r="N8" i="22"/>
  <c r="AV7" i="22"/>
  <c r="AU7" i="22"/>
  <c r="N7" i="22"/>
  <c r="AU6" i="22"/>
  <c r="N6" i="22"/>
  <c r="N5" i="22"/>
  <c r="AV3" i="22"/>
  <c r="Q1" i="22" s="1"/>
  <c r="N15" i="20"/>
  <c r="M3" i="16"/>
  <c r="M5" i="16"/>
  <c r="M9" i="16"/>
  <c r="M13" i="16"/>
  <c r="M15" i="19"/>
  <c r="L15" i="19"/>
  <c r="K15" i="19"/>
  <c r="J15" i="19"/>
  <c r="I15" i="19"/>
  <c r="H15" i="19"/>
  <c r="G15" i="19"/>
  <c r="F15" i="19"/>
  <c r="E15" i="19"/>
  <c r="D15" i="19"/>
  <c r="C15" i="19"/>
  <c r="B15" i="19"/>
  <c r="AV50" i="20"/>
  <c r="AU50" i="20"/>
  <c r="AV49" i="20"/>
  <c r="AU49" i="20"/>
  <c r="N49" i="20"/>
  <c r="AV48" i="20"/>
  <c r="AU48" i="20"/>
  <c r="N48" i="20"/>
  <c r="AV47" i="20"/>
  <c r="AU47" i="20"/>
  <c r="N47" i="20"/>
  <c r="AV46" i="20"/>
  <c r="AU46" i="20"/>
  <c r="N46" i="20"/>
  <c r="AV45" i="20"/>
  <c r="AU45" i="20"/>
  <c r="N45" i="20"/>
  <c r="AV44" i="20"/>
  <c r="AU44" i="20"/>
  <c r="N44" i="20"/>
  <c r="AV43" i="20"/>
  <c r="AU43" i="20"/>
  <c r="N43" i="20"/>
  <c r="AV42" i="20"/>
  <c r="AU42" i="20"/>
  <c r="N42" i="20"/>
  <c r="AV41" i="20"/>
  <c r="AU41" i="20"/>
  <c r="N41" i="20"/>
  <c r="AV40" i="20"/>
  <c r="AU40" i="20"/>
  <c r="N40" i="20"/>
  <c r="AV39" i="20"/>
  <c r="AU39" i="20"/>
  <c r="N39" i="20"/>
  <c r="AV38" i="20"/>
  <c r="AU38" i="20"/>
  <c r="N38" i="20"/>
  <c r="AV37" i="20"/>
  <c r="AU37" i="20"/>
  <c r="N37" i="20"/>
  <c r="AV36" i="20"/>
  <c r="AU36" i="20"/>
  <c r="N36" i="20"/>
  <c r="AV35" i="20"/>
  <c r="AU35" i="20"/>
  <c r="N35" i="20"/>
  <c r="AV34" i="20"/>
  <c r="AU34" i="20"/>
  <c r="N34" i="20"/>
  <c r="AV33" i="20"/>
  <c r="AU33" i="20"/>
  <c r="N33" i="20"/>
  <c r="AV32" i="20"/>
  <c r="AU32" i="20"/>
  <c r="N32" i="20"/>
  <c r="AV31" i="20"/>
  <c r="AU31" i="20"/>
  <c r="N31" i="20"/>
  <c r="AV30" i="20"/>
  <c r="AU30" i="20"/>
  <c r="N30" i="20"/>
  <c r="AV29" i="20"/>
  <c r="AU29" i="20"/>
  <c r="N29" i="20"/>
  <c r="AV28" i="20"/>
  <c r="AU28" i="20"/>
  <c r="N28" i="20"/>
  <c r="AV27" i="20"/>
  <c r="AU27" i="20"/>
  <c r="N27" i="20"/>
  <c r="AV26" i="20"/>
  <c r="AU26" i="20"/>
  <c r="N26" i="20"/>
  <c r="AV25" i="20"/>
  <c r="AU25" i="20"/>
  <c r="N25" i="20"/>
  <c r="AV24" i="20"/>
  <c r="AU24" i="20"/>
  <c r="N24" i="20"/>
  <c r="AV23" i="20"/>
  <c r="AU23" i="20"/>
  <c r="N23" i="20"/>
  <c r="AV22" i="20"/>
  <c r="AU22" i="20"/>
  <c r="N22" i="20"/>
  <c r="AV21" i="20"/>
  <c r="AU21" i="20"/>
  <c r="N21" i="20"/>
  <c r="AV20" i="20"/>
  <c r="AU20" i="20"/>
  <c r="N20" i="20"/>
  <c r="AV19" i="20"/>
  <c r="AU19" i="20"/>
  <c r="N19" i="20"/>
  <c r="AV18" i="20"/>
  <c r="AU18" i="20"/>
  <c r="N18" i="20"/>
  <c r="AV17" i="20"/>
  <c r="AU17" i="20"/>
  <c r="N17" i="20"/>
  <c r="N16" i="20"/>
  <c r="AV15" i="20"/>
  <c r="AU15" i="20"/>
  <c r="AV14" i="20"/>
  <c r="AU14" i="20"/>
  <c r="N14" i="20"/>
  <c r="AV13" i="20"/>
  <c r="AU13" i="20"/>
  <c r="N13" i="20"/>
  <c r="AV12" i="20"/>
  <c r="AU12" i="20"/>
  <c r="N12" i="20"/>
  <c r="AV11" i="20"/>
  <c r="AU11" i="20"/>
  <c r="N11" i="20"/>
  <c r="N10" i="20"/>
  <c r="N9" i="20"/>
  <c r="AV8" i="20"/>
  <c r="AU8" i="20"/>
  <c r="N8" i="20"/>
  <c r="AV7" i="20"/>
  <c r="AU7" i="20"/>
  <c r="N7" i="20"/>
  <c r="AV6" i="20"/>
  <c r="AU6" i="20"/>
  <c r="N6" i="20"/>
  <c r="N5" i="20"/>
  <c r="AV3" i="20"/>
  <c r="Q1" i="20" s="1"/>
  <c r="N5" i="19"/>
  <c r="M2" i="16" s="1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M46" i="16" s="1"/>
  <c r="AV48" i="19"/>
  <c r="AU48" i="19"/>
  <c r="N48" i="19"/>
  <c r="M45" i="16" s="1"/>
  <c r="AV47" i="19"/>
  <c r="AU47" i="19"/>
  <c r="N47" i="19"/>
  <c r="M44" i="16" s="1"/>
  <c r="AV46" i="19"/>
  <c r="AU46" i="19"/>
  <c r="N46" i="19"/>
  <c r="M43" i="16" s="1"/>
  <c r="AV45" i="19"/>
  <c r="AU45" i="19"/>
  <c r="N45" i="19"/>
  <c r="M42" i="16" s="1"/>
  <c r="AV44" i="19"/>
  <c r="AU44" i="19"/>
  <c r="N44" i="19"/>
  <c r="M41" i="16" s="1"/>
  <c r="AV43" i="19"/>
  <c r="AU43" i="19"/>
  <c r="N43" i="19"/>
  <c r="M40" i="16" s="1"/>
  <c r="AV42" i="19"/>
  <c r="AU42" i="19"/>
  <c r="N42" i="19"/>
  <c r="M39" i="16" s="1"/>
  <c r="AV41" i="19"/>
  <c r="AU41" i="19"/>
  <c r="N41" i="19"/>
  <c r="M38" i="16" s="1"/>
  <c r="AV40" i="19"/>
  <c r="AU40" i="19"/>
  <c r="N40" i="19"/>
  <c r="M37" i="16" s="1"/>
  <c r="AV39" i="19"/>
  <c r="AU39" i="19"/>
  <c r="N39" i="19"/>
  <c r="M36" i="16" s="1"/>
  <c r="AV38" i="19"/>
  <c r="AU38" i="19"/>
  <c r="N38" i="19"/>
  <c r="M35" i="16" s="1"/>
  <c r="AV37" i="19"/>
  <c r="AU37" i="19"/>
  <c r="N37" i="19"/>
  <c r="M34" i="16" s="1"/>
  <c r="AV36" i="19"/>
  <c r="AU36" i="19"/>
  <c r="N36" i="19"/>
  <c r="M33" i="16" s="1"/>
  <c r="AV35" i="19"/>
  <c r="AU35" i="19"/>
  <c r="N35" i="19"/>
  <c r="M32" i="16" s="1"/>
  <c r="AV34" i="19"/>
  <c r="AU34" i="19"/>
  <c r="N34" i="19"/>
  <c r="M31" i="16" s="1"/>
  <c r="AV33" i="19"/>
  <c r="AU33" i="19"/>
  <c r="N33" i="19"/>
  <c r="M30" i="16" s="1"/>
  <c r="AV32" i="19"/>
  <c r="AU32" i="19"/>
  <c r="N32" i="19"/>
  <c r="M29" i="16" s="1"/>
  <c r="AV31" i="19"/>
  <c r="AU31" i="19"/>
  <c r="N31" i="19"/>
  <c r="M28" i="16" s="1"/>
  <c r="AV30" i="19"/>
  <c r="AU30" i="19"/>
  <c r="N30" i="19"/>
  <c r="M27" i="16" s="1"/>
  <c r="AV29" i="19"/>
  <c r="AU29" i="19"/>
  <c r="N29" i="19"/>
  <c r="M26" i="16" s="1"/>
  <c r="AV28" i="19"/>
  <c r="AU28" i="19"/>
  <c r="N28" i="19"/>
  <c r="M25" i="16" s="1"/>
  <c r="AV27" i="19"/>
  <c r="AU27" i="19"/>
  <c r="N27" i="19"/>
  <c r="M24" i="16" s="1"/>
  <c r="AV26" i="19"/>
  <c r="AU26" i="19"/>
  <c r="N26" i="19"/>
  <c r="M23" i="16" s="1"/>
  <c r="AV25" i="19"/>
  <c r="AU25" i="19"/>
  <c r="N25" i="19"/>
  <c r="M22" i="16" s="1"/>
  <c r="AV24" i="19"/>
  <c r="AU24" i="19"/>
  <c r="N24" i="19"/>
  <c r="M21" i="16" s="1"/>
  <c r="AV23" i="19"/>
  <c r="AU23" i="19"/>
  <c r="N23" i="19"/>
  <c r="M20" i="16" s="1"/>
  <c r="AV22" i="19"/>
  <c r="AU22" i="19"/>
  <c r="N22" i="19"/>
  <c r="M19" i="16" s="1"/>
  <c r="AV21" i="19"/>
  <c r="AU21" i="19"/>
  <c r="N21" i="19"/>
  <c r="M18" i="16" s="1"/>
  <c r="AV20" i="19"/>
  <c r="AU20" i="19"/>
  <c r="N20" i="19"/>
  <c r="M17" i="16" s="1"/>
  <c r="AV19" i="19"/>
  <c r="AU19" i="19"/>
  <c r="N19" i="19"/>
  <c r="M16" i="16" s="1"/>
  <c r="AV18" i="19"/>
  <c r="AU18" i="19"/>
  <c r="N18" i="19"/>
  <c r="M15" i="16" s="1"/>
  <c r="AV17" i="19"/>
  <c r="AU17" i="19"/>
  <c r="N17" i="19"/>
  <c r="M14" i="16" s="1"/>
  <c r="N16" i="19"/>
  <c r="AV15" i="19"/>
  <c r="AU15" i="19"/>
  <c r="AV14" i="19"/>
  <c r="AU14" i="19"/>
  <c r="N14" i="19"/>
  <c r="M11" i="16" s="1"/>
  <c r="AV13" i="19"/>
  <c r="AU13" i="19"/>
  <c r="N13" i="19"/>
  <c r="M10" i="16" s="1"/>
  <c r="AV12" i="19"/>
  <c r="AU12" i="19"/>
  <c r="N12" i="19"/>
  <c r="AV11" i="19"/>
  <c r="AU11" i="19"/>
  <c r="N11" i="19"/>
  <c r="M8" i="16" s="1"/>
  <c r="N10" i="19"/>
  <c r="M7" i="16" s="1"/>
  <c r="N9" i="19"/>
  <c r="M6" i="16" s="1"/>
  <c r="AV8" i="19"/>
  <c r="AU8" i="19"/>
  <c r="N8" i="19"/>
  <c r="AV7" i="19"/>
  <c r="AU7" i="19"/>
  <c r="N7" i="19"/>
  <c r="M4" i="16" s="1"/>
  <c r="AU6" i="19"/>
  <c r="N6" i="19"/>
  <c r="N15" i="19" l="1"/>
  <c r="M12" i="16" s="1"/>
  <c r="G2" i="17"/>
  <c r="Q1" i="19"/>
  <c r="B15" i="12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 l="1"/>
  <c r="N15" i="7"/>
  <c r="N15" i="12"/>
  <c r="N15" i="8"/>
  <c r="N15" i="9"/>
  <c r="N15" i="10"/>
  <c r="N15" i="11"/>
</calcChain>
</file>

<file path=xl/sharedStrings.xml><?xml version="1.0" encoding="utf-8"?>
<sst xmlns="http://schemas.openxmlformats.org/spreadsheetml/2006/main" count="771" uniqueCount="68">
  <si>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</si>
  <si>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</si>
  <si>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</si>
  <si>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</si>
  <si>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</si>
  <si>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</si>
  <si>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</si>
  <si>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</si>
  <si>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</si>
  <si>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</si>
  <si>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</si>
  <si>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</si>
  <si>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</si>
  <si>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</si>
  <si>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</si>
  <si>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</si>
  <si>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</si>
  <si>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</si>
  <si>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</si>
  <si>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</si>
  <si>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</si>
  <si>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</si>
  <si>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</si>
  <si>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</si>
  <si>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</si>
  <si>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</si>
  <si>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</si>
  <si>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</si>
  <si>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</si>
  <si>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</si>
  <si>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</si>
  <si>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</si>
  <si>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</si>
  <si>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</si>
  <si>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</si>
  <si>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</si>
  <si>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</si>
  <si>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</si>
  <si>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</si>
  <si>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</si>
  <si>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</si>
  <si>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</si>
  <si>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</si>
  <si>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</si>
  <si>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</si>
  <si>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</si>
  <si>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</si>
  <si>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</si>
  <si>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</si>
  <si>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</si>
  <si>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</si>
  <si>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</si>
  <si>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</si>
  <si>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</si>
  <si>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</si>
  <si>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</si>
  <si>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</si>
  <si>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</si>
  <si>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</si>
  <si>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</si>
  <si>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</si>
  <si>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</si>
  <si>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</si>
  <si>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</si>
  <si>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</si>
  <si>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Acumulado 2026</t>
  </si>
  <si>
    <t>MOVIMIENTO DE CRUDOS Y OBTENCIÓN DE PRODUCTOS PETROLÍFEROS - AÑO 2026- EVOLUCIÓN MENSUAL</t>
  </si>
  <si>
    <t>Información provisional elaborada a partir de la información disponible a fecha 16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</si>
</sst>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8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" fontId="16" fillId="0" borderId="0" xfId="4" applyNumberFormat="1" applyFont="1" applyAlignment="1">
      <alignment horizontal="right" wrapText="1"/>
    </xf>
    <xf numFmtId="1" fontId="11" fillId="0" borderId="0" xfId="4" applyNumberFormat="1" applyAlignment="1">
      <alignment horizontal="right"/>
    </xf>
    <xf numFmtId="168" fontId="0" fillId="0" borderId="0" xfId="0" applyNumberFormat="1" applyAlignment="1">
      <alignment vertical="center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451.30899999999997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120.874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178.6200000000008</c:v>
                </c:pt>
                <c:pt idx="1">
                  <c:v>236.21699999999998</c:v>
                </c:pt>
                <c:pt idx="2">
                  <c:v>80.967999999998938</c:v>
                </c:pt>
                <c:pt idx="3">
                  <c:v>143.25099999999998</c:v>
                </c:pt>
                <c:pt idx="4">
                  <c:v>222.02399999999852</c:v>
                </c:pt>
                <c:pt idx="5">
                  <c:v>120.74400000000151</c:v>
                </c:pt>
                <c:pt idx="6">
                  <c:v>212.26999999999953</c:v>
                </c:pt>
                <c:pt idx="7">
                  <c:v>254.46400000000085</c:v>
                </c:pt>
                <c:pt idx="8">
                  <c:v>162.32900000000063</c:v>
                </c:pt>
                <c:pt idx="9">
                  <c:v>175.37199999999939</c:v>
                </c:pt>
                <c:pt idx="10">
                  <c:v>272.31500000000051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5627.1900000000005</c:v>
                </c:pt>
                <c:pt idx="1">
                  <c:v>5224.4060000000009</c:v>
                </c:pt>
                <c:pt idx="2">
                  <c:v>5169.4089999999997</c:v>
                </c:pt>
                <c:pt idx="3">
                  <c:v>5233.6220000000003</c:v>
                </c:pt>
                <c:pt idx="4">
                  <c:v>5642.6579999999994</c:v>
                </c:pt>
                <c:pt idx="5">
                  <c:v>4961.1239999999998</c:v>
                </c:pt>
                <c:pt idx="6">
                  <c:v>5539.5619999999999</c:v>
                </c:pt>
                <c:pt idx="7">
                  <c:v>5482.4080000000004</c:v>
                </c:pt>
                <c:pt idx="8">
                  <c:v>5046.0910000000013</c:v>
                </c:pt>
                <c:pt idx="9">
                  <c:v>5183.6080000000002</c:v>
                </c:pt>
                <c:pt idx="10">
                  <c:v>4880.7290000000012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  <c:pt idx="2">
                  <c:v>0.17599999999999999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8.3000000000000004E-2</c:v>
                </c:pt>
                <c:pt idx="10">
                  <c:v>0.21</c:v>
                </c:pt>
                <c:pt idx="11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  <c:pt idx="2">
                  <c:v>5310.0219999999999</c:v>
                </c:pt>
                <c:pt idx="3">
                  <c:v>4795.9139999999998</c:v>
                </c:pt>
                <c:pt idx="4">
                  <c:v>4790.9260000000004</c:v>
                </c:pt>
                <c:pt idx="5">
                  <c:v>4131.1869999999999</c:v>
                </c:pt>
                <c:pt idx="6">
                  <c:v>5834.3440000000001</c:v>
                </c:pt>
                <c:pt idx="7">
                  <c:v>5137.7950000000001</c:v>
                </c:pt>
                <c:pt idx="8">
                  <c:v>5154.0079999999998</c:v>
                </c:pt>
                <c:pt idx="9">
                  <c:v>5694.6390000000001</c:v>
                </c:pt>
                <c:pt idx="10">
                  <c:v>5005.2659999999996</c:v>
                </c:pt>
                <c:pt idx="11">
                  <c:v>5313.8450000000003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5060.8040000000001</c:v>
                </c:pt>
                <c:pt idx="3">
                  <c:v>6148.0309999999999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5766.31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9-4CBD-BA48-59DEA40065DD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-49.119000000000597</c:v>
                </c:pt>
                <c:pt idx="2">
                  <c:v>-73.728000000000065</c:v>
                </c:pt>
                <c:pt idx="3">
                  <c:v>231.78200000000015</c:v>
                </c:pt>
                <c:pt idx="4">
                  <c:v>104.94999999999982</c:v>
                </c:pt>
                <c:pt idx="5">
                  <c:v>91.760000000000218</c:v>
                </c:pt>
                <c:pt idx="6">
                  <c:v>126.97199999999975</c:v>
                </c:pt>
                <c:pt idx="7">
                  <c:v>-28.425999999999476</c:v>
                </c:pt>
                <c:pt idx="8">
                  <c:v>211.86800000000039</c:v>
                </c:pt>
                <c:pt idx="9">
                  <c:v>-79.953999999999724</c:v>
                </c:pt>
                <c:pt idx="10">
                  <c:v>13.743000000000393</c:v>
                </c:pt>
                <c:pt idx="11">
                  <c:v>135.24399999999969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9-4CBD-BA48-59DEA40065DD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-118.96599999999999</c:v>
                </c:pt>
                <c:pt idx="1">
                  <c:v>311.27600000000001</c:v>
                </c:pt>
                <c:pt idx="2">
                  <c:v>-7.0119999999999996</c:v>
                </c:pt>
                <c:pt idx="3">
                  <c:v>257.46199999999999</c:v>
                </c:pt>
                <c:pt idx="4">
                  <c:v>14.525</c:v>
                </c:pt>
                <c:pt idx="5">
                  <c:v>-442.20400000000001</c:v>
                </c:pt>
                <c:pt idx="6">
                  <c:v>323.27</c:v>
                </c:pt>
                <c:pt idx="7">
                  <c:v>-242.45</c:v>
                </c:pt>
                <c:pt idx="8">
                  <c:v>1.8280000000000001</c:v>
                </c:pt>
                <c:pt idx="9">
                  <c:v>133.40100000000001</c:v>
                </c:pt>
                <c:pt idx="10">
                  <c:v>-190.834</c:v>
                </c:pt>
                <c:pt idx="11">
                  <c:v>-60.182000000000002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9-4CBD-BA48-59DEA40065DD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251.21300000000002</c:v>
                </c:pt>
                <c:pt idx="1">
                  <c:v>1.2939999999999827</c:v>
                </c:pt>
                <c:pt idx="2">
                  <c:v>-56.305</c:v>
                </c:pt>
                <c:pt idx="3">
                  <c:v>122.38999999999999</c:v>
                </c:pt>
                <c:pt idx="4">
                  <c:v>144.45099999999999</c:v>
                </c:pt>
                <c:pt idx="5">
                  <c:v>-239.61200000000002</c:v>
                </c:pt>
                <c:pt idx="6">
                  <c:v>117.428</c:v>
                </c:pt>
                <c:pt idx="7">
                  <c:v>-114.16700000000003</c:v>
                </c:pt>
                <c:pt idx="8">
                  <c:v>145.71</c:v>
                </c:pt>
                <c:pt idx="9">
                  <c:v>-15.498000000000005</c:v>
                </c:pt>
                <c:pt idx="10">
                  <c:v>37.441000000000003</c:v>
                </c:pt>
                <c:pt idx="11">
                  <c:v>-119.8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  <c:pt idx="2">
                  <c:v>23.821999999999999</c:v>
                </c:pt>
                <c:pt idx="3">
                  <c:v>26.233000000000001</c:v>
                </c:pt>
                <c:pt idx="4">
                  <c:v>49.732999999999997</c:v>
                </c:pt>
                <c:pt idx="5">
                  <c:v>16.376999999999999</c:v>
                </c:pt>
                <c:pt idx="6">
                  <c:v>123.58</c:v>
                </c:pt>
                <c:pt idx="7">
                  <c:v>32.295000000000002</c:v>
                </c:pt>
                <c:pt idx="8">
                  <c:v>46.997999999999998</c:v>
                </c:pt>
                <c:pt idx="9">
                  <c:v>72.234999999999999</c:v>
                </c:pt>
                <c:pt idx="10">
                  <c:v>26.579000000000001</c:v>
                </c:pt>
                <c:pt idx="11">
                  <c:v>21.766999999999999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157.89100000000144</c:v>
                </c:pt>
                <c:pt idx="1">
                  <c:v>71.536999999999352</c:v>
                </c:pt>
                <c:pt idx="2">
                  <c:v>220.40999999999985</c:v>
                </c:pt>
                <c:pt idx="3">
                  <c:v>105.32200000000103</c:v>
                </c:pt>
                <c:pt idx="4">
                  <c:v>58.5</c:v>
                </c:pt>
                <c:pt idx="5">
                  <c:v>37.992000000000189</c:v>
                </c:pt>
                <c:pt idx="6">
                  <c:v>63.582999999999629</c:v>
                </c:pt>
                <c:pt idx="7">
                  <c:v>50.127000000000407</c:v>
                </c:pt>
                <c:pt idx="8">
                  <c:v>32.474999999999454</c:v>
                </c:pt>
                <c:pt idx="9">
                  <c:v>114.73599999999897</c:v>
                </c:pt>
                <c:pt idx="10">
                  <c:v>74.089999999999236</c:v>
                </c:pt>
                <c:pt idx="11">
                  <c:v>65.99199999999837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5301.6440000000002</c:v>
                </c:pt>
                <c:pt idx="1">
                  <c:v>4761.5320000000002</c:v>
                </c:pt>
                <c:pt idx="2">
                  <c:v>5317.21</c:v>
                </c:pt>
                <c:pt idx="3">
                  <c:v>4538.4579999999996</c:v>
                </c:pt>
                <c:pt idx="4">
                  <c:v>4776.4009999999998</c:v>
                </c:pt>
                <c:pt idx="5">
                  <c:v>4573.3909999999996</c:v>
                </c:pt>
                <c:pt idx="6">
                  <c:v>5511.0739999999996</c:v>
                </c:pt>
                <c:pt idx="7">
                  <c:v>5380.2449999999999</c:v>
                </c:pt>
                <c:pt idx="8">
                  <c:v>5152.18</c:v>
                </c:pt>
                <c:pt idx="9">
                  <c:v>5561.3209999999999</c:v>
                </c:pt>
                <c:pt idx="10">
                  <c:v>5196.3100000000004</c:v>
                </c:pt>
                <c:pt idx="11">
                  <c:v>5374.2039999999997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5306.3580000000011</c:v>
                </c:pt>
                <c:pt idx="1">
                  <c:v>4766.5689999999995</c:v>
                </c:pt>
                <c:pt idx="2">
                  <c:v>5323.6090000000004</c:v>
                </c:pt>
                <c:pt idx="3">
                  <c:v>4674.0829999999996</c:v>
                </c:pt>
                <c:pt idx="4">
                  <c:v>4786.6330000000007</c:v>
                </c:pt>
                <c:pt idx="5">
                  <c:v>4921.1400000000003</c:v>
                </c:pt>
                <c:pt idx="6">
                  <c:v>5644.1980000000003</c:v>
                </c:pt>
                <c:pt idx="7">
                  <c:v>5498.2810000000009</c:v>
                </c:pt>
                <c:pt idx="8">
                  <c:v>5265.3359999999993</c:v>
                </c:pt>
                <c:pt idx="9">
                  <c:v>5569.0999999999995</c:v>
                </c:pt>
                <c:pt idx="10">
                  <c:v>5199.1909999999998</c:v>
                </c:pt>
                <c:pt idx="11">
                  <c:v>5651.0149999999994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  <c:pt idx="2">
                  <c:v>96.242000000000004</c:v>
                </c:pt>
                <c:pt idx="3">
                  <c:v>64.98</c:v>
                </c:pt>
                <c:pt idx="4">
                  <c:v>88.978999999999999</c:v>
                </c:pt>
                <c:pt idx="5">
                  <c:v>81.649000000000001</c:v>
                </c:pt>
                <c:pt idx="6">
                  <c:v>70.718999999999994</c:v>
                </c:pt>
                <c:pt idx="7">
                  <c:v>93.141000000000005</c:v>
                </c:pt>
                <c:pt idx="8">
                  <c:v>88.816999999999993</c:v>
                </c:pt>
                <c:pt idx="9">
                  <c:v>95.533000000000001</c:v>
                </c:pt>
                <c:pt idx="10">
                  <c:v>98.486000000000004</c:v>
                </c:pt>
                <c:pt idx="11">
                  <c:v>102.169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39.623000000000005</c:v>
                </c:pt>
                <c:pt idx="5">
                  <c:v>10.674999999999997</c:v>
                </c:pt>
                <c:pt idx="6">
                  <c:v>19.631</c:v>
                </c:pt>
                <c:pt idx="7">
                  <c:v>13.206999999999994</c:v>
                </c:pt>
                <c:pt idx="8">
                  <c:v>0</c:v>
                </c:pt>
                <c:pt idx="9">
                  <c:v>9.5690000000000026</c:v>
                </c:pt>
                <c:pt idx="10">
                  <c:v>20.322999999999993</c:v>
                </c:pt>
                <c:pt idx="11">
                  <c:v>39.63000000000001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  <c:pt idx="2">
                  <c:v>132.67400000000001</c:v>
                </c:pt>
                <c:pt idx="3">
                  <c:v>136.02799999999999</c:v>
                </c:pt>
                <c:pt idx="4">
                  <c:v>137.44300000000001</c:v>
                </c:pt>
                <c:pt idx="5">
                  <c:v>125.089</c:v>
                </c:pt>
                <c:pt idx="6">
                  <c:v>143.024</c:v>
                </c:pt>
                <c:pt idx="7">
                  <c:v>127.961</c:v>
                </c:pt>
                <c:pt idx="8">
                  <c:v>117.518</c:v>
                </c:pt>
                <c:pt idx="9">
                  <c:v>93.385999999999996</c:v>
                </c:pt>
                <c:pt idx="10">
                  <c:v>90.682000000000002</c:v>
                </c:pt>
                <c:pt idx="11">
                  <c:v>118.176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  <c:pt idx="2">
                  <c:v>80.259</c:v>
                </c:pt>
                <c:pt idx="3">
                  <c:v>91.846000000000004</c:v>
                </c:pt>
                <c:pt idx="4">
                  <c:v>100.376</c:v>
                </c:pt>
                <c:pt idx="5">
                  <c:v>91.144000000000005</c:v>
                </c:pt>
                <c:pt idx="6">
                  <c:v>86.387</c:v>
                </c:pt>
                <c:pt idx="7">
                  <c:v>91.56</c:v>
                </c:pt>
                <c:pt idx="8">
                  <c:v>95.596000000000004</c:v>
                </c:pt>
                <c:pt idx="9">
                  <c:v>102.232</c:v>
                </c:pt>
                <c:pt idx="10">
                  <c:v>86.843000000000004</c:v>
                </c:pt>
                <c:pt idx="11">
                  <c:v>101.95399999999999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  <c:pt idx="2">
                  <c:v>7.1070000000000002</c:v>
                </c:pt>
                <c:pt idx="3">
                  <c:v>10.738</c:v>
                </c:pt>
                <c:pt idx="4">
                  <c:v>9.3870000000000005</c:v>
                </c:pt>
                <c:pt idx="5">
                  <c:v>4.9489999999999998</c:v>
                </c:pt>
                <c:pt idx="6">
                  <c:v>14.753</c:v>
                </c:pt>
                <c:pt idx="7">
                  <c:v>14.805999999999999</c:v>
                </c:pt>
                <c:pt idx="8">
                  <c:v>10.811</c:v>
                </c:pt>
                <c:pt idx="9">
                  <c:v>7.9160000000000004</c:v>
                </c:pt>
                <c:pt idx="10">
                  <c:v>2.5150000000000001</c:v>
                </c:pt>
                <c:pt idx="11">
                  <c:v>12.023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  <c:pt idx="2">
                  <c:v>702.73799999999994</c:v>
                </c:pt>
                <c:pt idx="3">
                  <c:v>634.71599999999989</c:v>
                </c:pt>
                <c:pt idx="4">
                  <c:v>577.29599999999994</c:v>
                </c:pt>
                <c:pt idx="5">
                  <c:v>602.87</c:v>
                </c:pt>
                <c:pt idx="6">
                  <c:v>763.17600000000004</c:v>
                </c:pt>
                <c:pt idx="7">
                  <c:v>735.15</c:v>
                </c:pt>
                <c:pt idx="8">
                  <c:v>749.22899999999993</c:v>
                </c:pt>
                <c:pt idx="9">
                  <c:v>801.25099999999998</c:v>
                </c:pt>
                <c:pt idx="10">
                  <c:v>711.66700000000014</c:v>
                </c:pt>
                <c:pt idx="11">
                  <c:v>814.35699999999997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  <c:pt idx="2">
                  <c:v>47.640999999999998</c:v>
                </c:pt>
                <c:pt idx="3">
                  <c:v>42.44</c:v>
                </c:pt>
                <c:pt idx="4">
                  <c:v>52.503999999999998</c:v>
                </c:pt>
                <c:pt idx="5">
                  <c:v>41.771000000000001</c:v>
                </c:pt>
                <c:pt idx="6">
                  <c:v>40.868000000000002</c:v>
                </c:pt>
                <c:pt idx="7">
                  <c:v>39.442999999999998</c:v>
                </c:pt>
                <c:pt idx="8">
                  <c:v>43.014000000000003</c:v>
                </c:pt>
                <c:pt idx="9">
                  <c:v>41.174999999999997</c:v>
                </c:pt>
                <c:pt idx="10">
                  <c:v>31.084</c:v>
                </c:pt>
                <c:pt idx="11">
                  <c:v>37.429000000000002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  <c:pt idx="2">
                  <c:v>805.83</c:v>
                </c:pt>
                <c:pt idx="3">
                  <c:v>689.60400000000004</c:v>
                </c:pt>
                <c:pt idx="4">
                  <c:v>669.98500000000001</c:v>
                </c:pt>
                <c:pt idx="5">
                  <c:v>710.31600000000003</c:v>
                </c:pt>
                <c:pt idx="6">
                  <c:v>857.24800000000005</c:v>
                </c:pt>
                <c:pt idx="7">
                  <c:v>845.74800000000005</c:v>
                </c:pt>
                <c:pt idx="8">
                  <c:v>822.14499999999998</c:v>
                </c:pt>
                <c:pt idx="9">
                  <c:v>869.14</c:v>
                </c:pt>
                <c:pt idx="10">
                  <c:v>806.61599999999999</c:v>
                </c:pt>
                <c:pt idx="11">
                  <c:v>820.97799999999995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  <c:pt idx="2">
                  <c:v>275.00900000000001</c:v>
                </c:pt>
                <c:pt idx="3">
                  <c:v>264.98200000000003</c:v>
                </c:pt>
                <c:pt idx="4">
                  <c:v>261.40499999999997</c:v>
                </c:pt>
                <c:pt idx="5">
                  <c:v>250.71600000000001</c:v>
                </c:pt>
                <c:pt idx="6">
                  <c:v>238.75399999999999</c:v>
                </c:pt>
                <c:pt idx="7">
                  <c:v>272.16199999999998</c:v>
                </c:pt>
                <c:pt idx="8">
                  <c:v>273.80799999999999</c:v>
                </c:pt>
                <c:pt idx="9">
                  <c:v>264.34500000000003</c:v>
                </c:pt>
                <c:pt idx="10">
                  <c:v>274.858</c:v>
                </c:pt>
                <c:pt idx="11">
                  <c:v>220.477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  <c:pt idx="2">
                  <c:v>20.041</c:v>
                </c:pt>
                <c:pt idx="3">
                  <c:v>34.475999999999999</c:v>
                </c:pt>
                <c:pt idx="4">
                  <c:v>13.831</c:v>
                </c:pt>
                <c:pt idx="5">
                  <c:v>38.195999999999998</c:v>
                </c:pt>
                <c:pt idx="6">
                  <c:v>15.571</c:v>
                </c:pt>
                <c:pt idx="7">
                  <c:v>36.04</c:v>
                </c:pt>
                <c:pt idx="8">
                  <c:v>26.312000000000001</c:v>
                </c:pt>
                <c:pt idx="9">
                  <c:v>36.621000000000002</c:v>
                </c:pt>
                <c:pt idx="10">
                  <c:v>16.934000000000001</c:v>
                </c:pt>
                <c:pt idx="11">
                  <c:v>41.887999999999998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  <c:pt idx="2">
                  <c:v>11.478999999999999</c:v>
                </c:pt>
                <c:pt idx="3">
                  <c:v>8.5120000000000005</c:v>
                </c:pt>
                <c:pt idx="4">
                  <c:v>8.3800000000000008</c:v>
                </c:pt>
                <c:pt idx="5">
                  <c:v>6.3220000000000001</c:v>
                </c:pt>
                <c:pt idx="6">
                  <c:v>5.9189999999999996</c:v>
                </c:pt>
                <c:pt idx="7">
                  <c:v>5.0919999999999996</c:v>
                </c:pt>
                <c:pt idx="8">
                  <c:v>0</c:v>
                </c:pt>
                <c:pt idx="9">
                  <c:v>13.109</c:v>
                </c:pt>
                <c:pt idx="10">
                  <c:v>9.6539999999999999</c:v>
                </c:pt>
                <c:pt idx="11">
                  <c:v>16.911000000000001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  <c:pt idx="2">
                  <c:v>64.162000000000006</c:v>
                </c:pt>
                <c:pt idx="3">
                  <c:v>75.816999999999993</c:v>
                </c:pt>
                <c:pt idx="4">
                  <c:v>79.024000000000001</c:v>
                </c:pt>
                <c:pt idx="5">
                  <c:v>74.072000000000003</c:v>
                </c:pt>
                <c:pt idx="6">
                  <c:v>81.67</c:v>
                </c:pt>
                <c:pt idx="7">
                  <c:v>82.831000000000003</c:v>
                </c:pt>
                <c:pt idx="8">
                  <c:v>89.808999999999997</c:v>
                </c:pt>
                <c:pt idx="9">
                  <c:v>77.814999999999998</c:v>
                </c:pt>
                <c:pt idx="10">
                  <c:v>76.653999999999996</c:v>
                </c:pt>
                <c:pt idx="11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1625.5330000000001</c:v>
                </c:pt>
                <c:pt idx="1">
                  <c:v>1564.296</c:v>
                </c:pt>
                <c:pt idx="2">
                  <c:v>1698.4470000000001</c:v>
                </c:pt>
                <c:pt idx="3">
                  <c:v>1412.4479999999999</c:v>
                </c:pt>
                <c:pt idx="4">
                  <c:v>1561.6469999999999</c:v>
                </c:pt>
                <c:pt idx="5">
                  <c:v>1562.0510000000002</c:v>
                </c:pt>
                <c:pt idx="6">
                  <c:v>1949.8610000000003</c:v>
                </c:pt>
                <c:pt idx="7">
                  <c:v>1864.027</c:v>
                </c:pt>
                <c:pt idx="8">
                  <c:v>1741.4929999999999</c:v>
                </c:pt>
                <c:pt idx="9">
                  <c:v>1859.5649999999998</c:v>
                </c:pt>
                <c:pt idx="10">
                  <c:v>1721.567</c:v>
                </c:pt>
                <c:pt idx="11">
                  <c:v>1950.3790000000001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27.832000000000001</c:v>
                </c:pt>
                <c:pt idx="1">
                  <c:v>31.614999999999998</c:v>
                </c:pt>
                <c:pt idx="2">
                  <c:v>33.893999999999998</c:v>
                </c:pt>
                <c:pt idx="3">
                  <c:v>29.126000000000001</c:v>
                </c:pt>
                <c:pt idx="4">
                  <c:v>36.539000000000001</c:v>
                </c:pt>
                <c:pt idx="5">
                  <c:v>28.972999999999999</c:v>
                </c:pt>
                <c:pt idx="6">
                  <c:v>26.686</c:v>
                </c:pt>
                <c:pt idx="7">
                  <c:v>19.706</c:v>
                </c:pt>
                <c:pt idx="8">
                  <c:v>12.891999999999999</c:v>
                </c:pt>
                <c:pt idx="9">
                  <c:v>29.521999999999998</c:v>
                </c:pt>
                <c:pt idx="10">
                  <c:v>33.314999999999998</c:v>
                </c:pt>
                <c:pt idx="11">
                  <c:v>37.762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3.0000000000000001E-3</c:v>
                </c:pt>
                <c:pt idx="4">
                  <c:v>7.1999999999999995E-2</c:v>
                </c:pt>
                <c:pt idx="5">
                  <c:v>7.6999999999999999E-2</c:v>
                </c:pt>
                <c:pt idx="6">
                  <c:v>6.4000000000000001E-2</c:v>
                </c:pt>
                <c:pt idx="7">
                  <c:v>7.8E-2</c:v>
                </c:pt>
                <c:pt idx="8">
                  <c:v>0.03</c:v>
                </c:pt>
                <c:pt idx="9">
                  <c:v>0.06</c:v>
                </c:pt>
                <c:pt idx="10">
                  <c:v>0.10299999999999999</c:v>
                </c:pt>
                <c:pt idx="11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29.7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D-4221-B9C6-29B2BFB42ADD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D-4221-B9C6-29B2BFB42ADD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D-4221-B9C6-29B2BFB42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  <c:pt idx="2">
                  <c:v>220.25399999999999</c:v>
                </c:pt>
                <c:pt idx="3">
                  <c:v>289.10199999999998</c:v>
                </c:pt>
                <c:pt idx="4">
                  <c:v>324.642</c:v>
                </c:pt>
                <c:pt idx="5">
                  <c:v>321.29899999999998</c:v>
                </c:pt>
                <c:pt idx="6">
                  <c:v>363.42500000000001</c:v>
                </c:pt>
                <c:pt idx="7">
                  <c:v>368.03800000000001</c:v>
                </c:pt>
                <c:pt idx="8">
                  <c:v>334.88099999999997</c:v>
                </c:pt>
                <c:pt idx="9">
                  <c:v>300.68</c:v>
                </c:pt>
                <c:pt idx="10">
                  <c:v>224.52</c:v>
                </c:pt>
                <c:pt idx="11">
                  <c:v>365.63099999999997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  <c:pt idx="2">
                  <c:v>23.401</c:v>
                </c:pt>
                <c:pt idx="3">
                  <c:v>18.108000000000001</c:v>
                </c:pt>
                <c:pt idx="4">
                  <c:v>19.988</c:v>
                </c:pt>
                <c:pt idx="5">
                  <c:v>25.501999999999999</c:v>
                </c:pt>
                <c:pt idx="6">
                  <c:v>27.87</c:v>
                </c:pt>
                <c:pt idx="7">
                  <c:v>27.532</c:v>
                </c:pt>
                <c:pt idx="8">
                  <c:v>24.254000000000001</c:v>
                </c:pt>
                <c:pt idx="9">
                  <c:v>25.204999999999998</c:v>
                </c:pt>
                <c:pt idx="10">
                  <c:v>24.262</c:v>
                </c:pt>
                <c:pt idx="11">
                  <c:v>24.800999999999998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D-4581-A7AC-768A92EA1ADE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D-4581-A7AC-768A92EA1ADE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D-4581-A7AC-768A92EA1ADE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D-4581-A7AC-768A92EA1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116.541</c:v>
                </c:pt>
                <c:pt idx="1">
                  <c:v>119.774</c:v>
                </c:pt>
                <c:pt idx="2">
                  <c:v>101.82599999999999</c:v>
                </c:pt>
                <c:pt idx="3">
                  <c:v>145.04900000000001</c:v>
                </c:pt>
                <c:pt idx="4">
                  <c:v>135.35900000000001</c:v>
                </c:pt>
                <c:pt idx="5">
                  <c:v>192.636</c:v>
                </c:pt>
                <c:pt idx="6">
                  <c:v>164.108</c:v>
                </c:pt>
                <c:pt idx="7">
                  <c:v>145.88300000000001</c:v>
                </c:pt>
                <c:pt idx="8">
                  <c:v>146.40600000000001</c:v>
                </c:pt>
                <c:pt idx="9">
                  <c:v>129.37700000000001</c:v>
                </c:pt>
                <c:pt idx="10">
                  <c:v>116.863</c:v>
                </c:pt>
                <c:pt idx="11">
                  <c:v>147.65799999999999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  <c:pt idx="2">
                  <c:v>11.792999999999999</c:v>
                </c:pt>
                <c:pt idx="3">
                  <c:v>7.1879999999999997</c:v>
                </c:pt>
                <c:pt idx="4">
                  <c:v>7.89</c:v>
                </c:pt>
                <c:pt idx="5">
                  <c:v>10.404999999999999</c:v>
                </c:pt>
                <c:pt idx="6">
                  <c:v>10.439</c:v>
                </c:pt>
                <c:pt idx="7">
                  <c:v>10.88</c:v>
                </c:pt>
                <c:pt idx="8">
                  <c:v>10.452999999999999</c:v>
                </c:pt>
                <c:pt idx="9">
                  <c:v>8.6180000000000003</c:v>
                </c:pt>
                <c:pt idx="10">
                  <c:v>10.99</c:v>
                </c:pt>
                <c:pt idx="11">
                  <c:v>8.3819999999999997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  <c:pt idx="2">
                  <c:v>5.3330000000000002</c:v>
                </c:pt>
                <c:pt idx="3">
                  <c:v>5.3170000000000002</c:v>
                </c:pt>
                <c:pt idx="4">
                  <c:v>5.4550000000000001</c:v>
                </c:pt>
                <c:pt idx="5">
                  <c:v>5.69</c:v>
                </c:pt>
                <c:pt idx="6">
                  <c:v>6.0919999999999996</c:v>
                </c:pt>
                <c:pt idx="7">
                  <c:v>5.407</c:v>
                </c:pt>
                <c:pt idx="8">
                  <c:v>6.5490000000000004</c:v>
                </c:pt>
                <c:pt idx="9">
                  <c:v>7.3940000000000001</c:v>
                </c:pt>
                <c:pt idx="10">
                  <c:v>6.7880000000000003</c:v>
                </c:pt>
                <c:pt idx="11">
                  <c:v>4.7439999999999998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280.41699999999946</c:v>
                </c:pt>
                <c:pt idx="1">
                  <c:v>186.78799999999956</c:v>
                </c:pt>
                <c:pt idx="2">
                  <c:v>254.91700000000128</c:v>
                </c:pt>
                <c:pt idx="3">
                  <c:v>194.22499999999854</c:v>
                </c:pt>
                <c:pt idx="4">
                  <c:v>171.73299999999927</c:v>
                </c:pt>
                <c:pt idx="5">
                  <c:v>244.98199999999997</c:v>
                </c:pt>
                <c:pt idx="6">
                  <c:v>222.55200000000002</c:v>
                </c:pt>
                <c:pt idx="7">
                  <c:v>168.31699999999998</c:v>
                </c:pt>
                <c:pt idx="8">
                  <c:v>189.81300000000002</c:v>
                </c:pt>
                <c:pt idx="9">
                  <c:v>193.96800000000002</c:v>
                </c:pt>
                <c:pt idx="10">
                  <c:v>272.54000000000087</c:v>
                </c:pt>
                <c:pt idx="11">
                  <c:v>164.13600000000133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8-4DD5-B5E2-1E53CF1D9861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68-4DD5-B5E2-1E53CF1D9861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A-4A75-9517-C0E535D982B3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0A-4A75-9517-C0E535D98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  <c:pt idx="2">
                  <c:v>293.46100000000001</c:v>
                </c:pt>
                <c:pt idx="3">
                  <c:v>244.34899999999999</c:v>
                </c:pt>
                <c:pt idx="4">
                  <c:v>283.19799999999998</c:v>
                </c:pt>
                <c:pt idx="5">
                  <c:v>291.35300000000001</c:v>
                </c:pt>
                <c:pt idx="6">
                  <c:v>296.88900000000001</c:v>
                </c:pt>
                <c:pt idx="7">
                  <c:v>290.74799999999999</c:v>
                </c:pt>
                <c:pt idx="8">
                  <c:v>271.62099999999998</c:v>
                </c:pt>
                <c:pt idx="9">
                  <c:v>294.06200000000001</c:v>
                </c:pt>
                <c:pt idx="10">
                  <c:v>284.005</c:v>
                </c:pt>
                <c:pt idx="11">
                  <c:v>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93.736999999999171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-256.63900000000001</c:v>
                </c:pt>
                <c:pt idx="3">
                  <c:v>769.74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-72.738999999999976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5313.8450000000003</c:v>
                </c:pt>
                <c:pt idx="1">
                  <c:v>5651.0149999999994</c:v>
                </c:pt>
                <c:pt idx="2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135.24399999999969</c:v>
                </c:pt>
                <c:pt idx="1">
                  <c:v>-60.182000000000002</c:v>
                </c:pt>
                <c:pt idx="2">
                  <c:v>-119.8</c:v>
                </c:pt>
                <c:pt idx="3">
                  <c:v>21.766999999999999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177.39500000000001</c:v>
                </c:pt>
                <c:pt idx="1">
                  <c:v>0</c:v>
                </c:pt>
                <c:pt idx="2">
                  <c:v>102.169</c:v>
                </c:pt>
                <c:pt idx="3">
                  <c:v>39.63000000000001</c:v>
                </c:pt>
                <c:pt idx="4">
                  <c:v>118.176</c:v>
                </c:pt>
                <c:pt idx="5">
                  <c:v>0</c:v>
                </c:pt>
                <c:pt idx="6">
                  <c:v>101.95399999999999</c:v>
                </c:pt>
                <c:pt idx="7">
                  <c:v>12.023</c:v>
                </c:pt>
                <c:pt idx="8">
                  <c:v>0</c:v>
                </c:pt>
                <c:pt idx="9">
                  <c:v>814.35699999999997</c:v>
                </c:pt>
                <c:pt idx="10">
                  <c:v>0</c:v>
                </c:pt>
                <c:pt idx="11">
                  <c:v>0</c:v>
                </c:pt>
                <c:pt idx="12">
                  <c:v>37.429000000000002</c:v>
                </c:pt>
                <c:pt idx="13">
                  <c:v>0</c:v>
                </c:pt>
                <c:pt idx="14">
                  <c:v>820.97799999999995</c:v>
                </c:pt>
                <c:pt idx="15">
                  <c:v>0</c:v>
                </c:pt>
                <c:pt idx="16">
                  <c:v>220.477</c:v>
                </c:pt>
                <c:pt idx="17">
                  <c:v>41.887999999999998</c:v>
                </c:pt>
                <c:pt idx="18">
                  <c:v>16.911000000000001</c:v>
                </c:pt>
                <c:pt idx="19">
                  <c:v>82.55</c:v>
                </c:pt>
                <c:pt idx="20">
                  <c:v>0</c:v>
                </c:pt>
                <c:pt idx="21">
                  <c:v>1950.3790000000001</c:v>
                </c:pt>
                <c:pt idx="22">
                  <c:v>37.762</c:v>
                </c:pt>
                <c:pt idx="23">
                  <c:v>0</c:v>
                </c:pt>
                <c:pt idx="24">
                  <c:v>0</c:v>
                </c:pt>
                <c:pt idx="25">
                  <c:v>9.2999999999999999E-2</c:v>
                </c:pt>
                <c:pt idx="26">
                  <c:v>0</c:v>
                </c:pt>
                <c:pt idx="27">
                  <c:v>365.63099999999997</c:v>
                </c:pt>
                <c:pt idx="28">
                  <c:v>24.800999999999998</c:v>
                </c:pt>
                <c:pt idx="29">
                  <c:v>147.65799999999999</c:v>
                </c:pt>
                <c:pt idx="30">
                  <c:v>8.3819999999999997</c:v>
                </c:pt>
                <c:pt idx="31">
                  <c:v>4.7439999999999998</c:v>
                </c:pt>
                <c:pt idx="32">
                  <c:v>295.5</c:v>
                </c:pt>
                <c:pt idx="33">
                  <c:v>164.13600000000133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172.095</c:v>
                </c:pt>
                <c:pt idx="1">
                  <c:v>187.18799999999999</c:v>
                </c:pt>
                <c:pt idx="2">
                  <c:v>216.68299999999999</c:v>
                </c:pt>
                <c:pt idx="3">
                  <c:v>169.70699999999999</c:v>
                </c:pt>
                <c:pt idx="4">
                  <c:v>143.37700000000001</c:v>
                </c:pt>
                <c:pt idx="5">
                  <c:v>162.38999999999999</c:v>
                </c:pt>
                <c:pt idx="6">
                  <c:v>174.90899999999999</c:v>
                </c:pt>
                <c:pt idx="7">
                  <c:v>190.39699999999999</c:v>
                </c:pt>
                <c:pt idx="8">
                  <c:v>177.41</c:v>
                </c:pt>
                <c:pt idx="9">
                  <c:v>193.821</c:v>
                </c:pt>
                <c:pt idx="10">
                  <c:v>174.13200000000001</c:v>
                </c:pt>
                <c:pt idx="11">
                  <c:v>177.39500000000001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5148.4669999999987</c:v>
                </c:pt>
                <c:pt idx="1">
                  <c:v>4695.0320000000002</c:v>
                </c:pt>
                <c:pt idx="2">
                  <c:v>5103.1990000000005</c:v>
                </c:pt>
                <c:pt idx="3">
                  <c:v>4568.7609999999995</c:v>
                </c:pt>
                <c:pt idx="4">
                  <c:v>4728.1330000000007</c:v>
                </c:pt>
                <c:pt idx="5">
                  <c:v>4883.1480000000001</c:v>
                </c:pt>
                <c:pt idx="6">
                  <c:v>5580.6149999999998</c:v>
                </c:pt>
                <c:pt idx="7">
                  <c:v>5448.1540000000005</c:v>
                </c:pt>
                <c:pt idx="8">
                  <c:v>5232.8609999999999</c:v>
                </c:pt>
                <c:pt idx="9">
                  <c:v>5454.3640000000005</c:v>
                </c:pt>
                <c:pt idx="10">
                  <c:v>5125.1010000000006</c:v>
                </c:pt>
                <c:pt idx="11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'2026'!$B$5:$M$5</c:f>
              <c:numCache>
                <c:formatCode>#,##0</c:formatCode>
                <c:ptCount val="12"/>
                <c:pt idx="0">
                  <c:v>0.154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7-47FF-8B2B-6655EC610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66D-421A-A962-635D087F1FD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'2026'!$B$6:$M$6</c:f>
              <c:numCache>
                <c:formatCode>#,##0</c:formatCode>
                <c:ptCount val="12"/>
                <c:pt idx="0">
                  <c:v>5061.4049999999997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21A-A962-635D087F1F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'2026'!$A$7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17-4E15-AC33-DD60A1B10692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17-4E15-AC33-DD60A1B10692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17-4E15-AC33-DD60A1B10692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17-4E15-AC33-DD60A1B10692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17-4E15-AC33-DD60A1B10692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'2026'!$B$7:$M$7</c:f>
              <c:numCache>
                <c:formatCode>#,##0</c:formatCode>
                <c:ptCount val="12"/>
                <c:pt idx="0">
                  <c:v>144.42100000000028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17-4E15-AC33-DD60A1B10692}"/>
            </c:ext>
          </c:extLst>
        </c:ser>
        <c:ser>
          <c:idx val="1"/>
          <c:order val="1"/>
          <c:tx>
            <c:strRef>
              <c:f>'2026'!$A$8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17-4E15-AC33-DD60A1B10692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17-4E15-AC33-DD60A1B10692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17-4E15-AC33-DD60A1B10692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7-4E15-AC33-DD60A1B10692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'2026'!$B$8:$M$8</c:f>
              <c:numCache>
                <c:formatCode>#,##0</c:formatCode>
                <c:ptCount val="12"/>
                <c:pt idx="0">
                  <c:v>255.80799999999999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17-4E15-AC33-DD60A1B10692}"/>
            </c:ext>
          </c:extLst>
        </c:ser>
        <c:ser>
          <c:idx val="2"/>
          <c:order val="2"/>
          <c:tx>
            <c:strRef>
              <c:f>'2026'!$A$9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17-4E15-AC33-DD60A1B10692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17-4E15-AC33-DD60A1B10692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17-4E15-AC33-DD60A1B10692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17-4E15-AC33-DD60A1B10692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17-4E15-AC33-DD60A1B10692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17-4E15-AC33-DD60A1B10692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'2026'!$B$9:$M$9</c:f>
              <c:numCache>
                <c:formatCode>#,##0</c:formatCode>
                <c:ptCount val="12"/>
                <c:pt idx="0">
                  <c:v>73.934000000000026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17-4E15-AC33-DD60A1B10692}"/>
            </c:ext>
          </c:extLst>
        </c:ser>
        <c:ser>
          <c:idx val="3"/>
          <c:order val="3"/>
          <c:tx>
            <c:strRef>
              <c:f>'2026'!$A$10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17-4E15-AC33-DD60A1B10692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'2026'!$B$10:$M$10</c:f>
              <c:numCache>
                <c:formatCode>#,##0</c:formatCode>
                <c:ptCount val="12"/>
                <c:pt idx="0">
                  <c:v>115.917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17-4E15-AC33-DD60A1B10692}"/>
            </c:ext>
          </c:extLst>
        </c:ser>
        <c:ser>
          <c:idx val="4"/>
          <c:order val="4"/>
          <c:tx>
            <c:strRef>
              <c:f>'2026'!$A$11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'2026'!$B$11:$M$11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17-4E15-AC33-DD60A1B106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'2026'!$A$14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'2026'!$B$14:$M$14</c:f>
              <c:numCache>
                <c:formatCode>#,##0</c:formatCode>
                <c:ptCount val="12"/>
                <c:pt idx="0">
                  <c:v>22.915000000000873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BAA-873B-BC96139F2137}"/>
            </c:ext>
          </c:extLst>
        </c:ser>
        <c:ser>
          <c:idx val="1"/>
          <c:order val="1"/>
          <c:tx>
            <c:strRef>
              <c:f>'2026'!$A$13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'2026'!$B$13:$M$13</c:f>
              <c:numCache>
                <c:formatCode>#,##0</c:formatCode>
                <c:ptCount val="12"/>
                <c:pt idx="0">
                  <c:v>4805.7510000000002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'2026'!$A$12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1D65-4BAA-873B-BC96139F21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'2026'!$B$12:$M$12</c:f>
              <c:numCache>
                <c:formatCode>#,##0</c:formatCode>
                <c:ptCount val="12"/>
                <c:pt idx="0">
                  <c:v>4992.1550000000007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'2026'!$A$18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B8-4252-94FC-DC81978E58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B8-4252-94FC-DC81978E58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B8-4252-94FC-DC81978E58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B8-4252-94FC-DC81978E58B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BB8-4252-94FC-DC81978E58B8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8-4252-94FC-DC81978E58B8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B8-4252-94FC-DC81978E58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'2026'!$B$18:$M$18</c:f>
              <c:numCache>
                <c:formatCode>#,##0</c:formatCode>
                <c:ptCount val="12"/>
                <c:pt idx="0">
                  <c:v>94.637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B8-4252-94FC-DC81978E58B8}"/>
            </c:ext>
          </c:extLst>
        </c:ser>
        <c:ser>
          <c:idx val="1"/>
          <c:order val="1"/>
          <c:tx>
            <c:strRef>
              <c:f>'2026'!$A$19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'2026'!$B$19:$M$19</c:f>
              <c:numCache>
                <c:formatCode>#,##0</c:formatCode>
                <c:ptCount val="12"/>
                <c:pt idx="0">
                  <c:v>26.518000000000001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B8-4252-94FC-DC81978E58B8}"/>
            </c:ext>
          </c:extLst>
        </c:ser>
        <c:ser>
          <c:idx val="2"/>
          <c:order val="2"/>
          <c:tx>
            <c:strRef>
              <c:f>'2026'!$A$17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'2026'!$B$17:$M$17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B8-4252-94FC-DC81978E58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109.16399999999976</c:v>
                </c:pt>
                <c:pt idx="1">
                  <c:v>262.67499999999836</c:v>
                </c:pt>
                <c:pt idx="2">
                  <c:v>155.60100000000057</c:v>
                </c:pt>
                <c:pt idx="3">
                  <c:v>148.85899999999947</c:v>
                </c:pt>
                <c:pt idx="4">
                  <c:v>286.02500000000055</c:v>
                </c:pt>
                <c:pt idx="5">
                  <c:v>110.57300000000032</c:v>
                </c:pt>
                <c:pt idx="6">
                  <c:v>57.899000000000342</c:v>
                </c:pt>
                <c:pt idx="7">
                  <c:v>89.593999999999141</c:v>
                </c:pt>
                <c:pt idx="8">
                  <c:v>34.008999999998196</c:v>
                </c:pt>
                <c:pt idx="9">
                  <c:v>81.345000000000255</c:v>
                </c:pt>
                <c:pt idx="10">
                  <c:v>205.23099999999886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5489.43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5572.0019999999995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'2026'!$B$20:$M$20</c:f>
              <c:numCache>
                <c:formatCode>#,##0</c:formatCode>
                <c:ptCount val="12"/>
                <c:pt idx="0">
                  <c:v>107.73099999999999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7-4D4C-A449-00531D04577E}"/>
            </c:ext>
          </c:extLst>
        </c:ser>
        <c:ser>
          <c:idx val="1"/>
          <c:order val="1"/>
          <c:tx>
            <c:strRef>
              <c:f>'2026'!$A$21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'2026'!$B$21:$M$21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7-4D4C-A449-00531D04577E}"/>
            </c:ext>
          </c:extLst>
        </c:ser>
        <c:ser>
          <c:idx val="2"/>
          <c:order val="2"/>
          <c:tx>
            <c:strRef>
              <c:f>'2026'!$A$22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'2026'!$B$22:$M$22</c:f>
              <c:numCache>
                <c:formatCode>#,##0</c:formatCode>
                <c:ptCount val="12"/>
                <c:pt idx="0">
                  <c:v>100.416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7-4D4C-A449-00531D04577E}"/>
            </c:ext>
          </c:extLst>
        </c:ser>
        <c:ser>
          <c:idx val="3"/>
          <c:order val="3"/>
          <c:tx>
            <c:strRef>
              <c:f>'2026'!$A$23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'2026'!$B$23:$M$23</c:f>
              <c:numCache>
                <c:formatCode>#,##0</c:formatCode>
                <c:ptCount val="12"/>
                <c:pt idx="0">
                  <c:v>1.008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07-4D4C-A449-00531D04577E}"/>
            </c:ext>
          </c:extLst>
        </c:ser>
        <c:ser>
          <c:idx val="4"/>
          <c:order val="4"/>
          <c:tx>
            <c:strRef>
              <c:f>'2026'!$A$24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'2026'!$B$24:$M$24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07-4D4C-A449-00531D04577E}"/>
            </c:ext>
          </c:extLst>
        </c:ser>
        <c:ser>
          <c:idx val="5"/>
          <c:order val="5"/>
          <c:tx>
            <c:strRef>
              <c:f>'2026'!$A$25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'2026'!$B$25:$M$25</c:f>
              <c:numCache>
                <c:formatCode>#,##0</c:formatCode>
                <c:ptCount val="12"/>
                <c:pt idx="0">
                  <c:v>760.81400000000008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07-4D4C-A449-00531D04577E}"/>
            </c:ext>
          </c:extLst>
        </c:ser>
        <c:ser>
          <c:idx val="6"/>
          <c:order val="6"/>
          <c:tx>
            <c:strRef>
              <c:f>'2026'!$A$27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'2026'!$B$27:$H$27</c:f>
              <c:numCache>
                <c:formatCode>#,##0</c:formatCode>
                <c:ptCount val="7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07-4D4C-A449-00531D04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'2026'!$B$28:$M$28</c:f>
              <c:numCache>
                <c:formatCode>#,##0</c:formatCode>
                <c:ptCount val="12"/>
                <c:pt idx="0">
                  <c:v>41.451999999999998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3-4CBE-B00C-BE77F0F4C380}"/>
            </c:ext>
          </c:extLst>
        </c:ser>
        <c:ser>
          <c:idx val="1"/>
          <c:order val="1"/>
          <c:tx>
            <c:strRef>
              <c:f>'2026'!$A$29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'2026'!$B$29:$M$29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3-4CBE-B00C-BE77F0F4C380}"/>
            </c:ext>
          </c:extLst>
        </c:ser>
        <c:ser>
          <c:idx val="2"/>
          <c:order val="2"/>
          <c:tx>
            <c:strRef>
              <c:f>'2026'!$A$30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'2026'!$B$30:$M$30</c:f>
              <c:numCache>
                <c:formatCode>#,##0</c:formatCode>
                <c:ptCount val="12"/>
                <c:pt idx="0">
                  <c:v>777.52800000000002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3-4CBE-B00C-BE77F0F4C3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'2026'!$B$31:$M$31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E72-8C22-C199CCAD4CA5}"/>
            </c:ext>
          </c:extLst>
        </c:ser>
        <c:ser>
          <c:idx val="1"/>
          <c:order val="1"/>
          <c:tx>
            <c:strRef>
              <c:f>'2026'!$A$32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'2026'!$B$32:$M$32</c:f>
              <c:numCache>
                <c:formatCode>#,##0</c:formatCode>
                <c:ptCount val="12"/>
                <c:pt idx="0">
                  <c:v>159.40600000000001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E72-8C22-C199CCAD4CA5}"/>
            </c:ext>
          </c:extLst>
        </c:ser>
        <c:ser>
          <c:idx val="2"/>
          <c:order val="2"/>
          <c:tx>
            <c:strRef>
              <c:f>'2026'!$A$33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'2026'!$B$33:$M$33</c:f>
              <c:numCache>
                <c:formatCode>#,##0</c:formatCode>
                <c:ptCount val="12"/>
                <c:pt idx="0">
                  <c:v>23.766999999999999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0-4E72-8C22-C199CCAD4CA5}"/>
            </c:ext>
          </c:extLst>
        </c:ser>
        <c:ser>
          <c:idx val="3"/>
          <c:order val="3"/>
          <c:tx>
            <c:strRef>
              <c:f>'2026'!$A$34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'2026'!$B$34:$M$34</c:f>
              <c:numCache>
                <c:formatCode>#,##0</c:formatCode>
                <c:ptCount val="12"/>
                <c:pt idx="0">
                  <c:v>17.497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00-4E72-8C22-C199CCAD4CA5}"/>
            </c:ext>
          </c:extLst>
        </c:ser>
        <c:ser>
          <c:idx val="4"/>
          <c:order val="4"/>
          <c:tx>
            <c:strRef>
              <c:f>'2026'!$A$35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'2026'!$B$35:$M$35</c:f>
              <c:numCache>
                <c:formatCode>#,##0</c:formatCode>
                <c:ptCount val="12"/>
                <c:pt idx="0">
                  <c:v>75.739000000000004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00-4E72-8C22-C199CCAD4CA5}"/>
            </c:ext>
          </c:extLst>
        </c:ser>
        <c:ser>
          <c:idx val="5"/>
          <c:order val="5"/>
          <c:tx>
            <c:strRef>
              <c:f>'2026'!$A$36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'2026'!$B$36:$M$36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00-4E72-8C22-C199CCAD4CA5}"/>
            </c:ext>
          </c:extLst>
        </c:ser>
        <c:ser>
          <c:idx val="6"/>
          <c:order val="6"/>
          <c:tx>
            <c:strRef>
              <c:f>'2026'!$A$37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'2026'!$B$37:$M$37</c:f>
              <c:numCache>
                <c:formatCode>#,##0</c:formatCode>
                <c:ptCount val="12"/>
                <c:pt idx="0">
                  <c:v>1694.88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00-4E72-8C22-C199CCAD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'2026'!$B$26:$M$26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2-4F22-8C30-4FE89317B0D1}"/>
            </c:ext>
          </c:extLst>
        </c:ser>
        <c:ser>
          <c:idx val="1"/>
          <c:order val="1"/>
          <c:tx>
            <c:strRef>
              <c:f>'2026'!$A$38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'2026'!$B$38:$M$38</c:f>
              <c:numCache>
                <c:formatCode>#,##0</c:formatCode>
                <c:ptCount val="12"/>
                <c:pt idx="0">
                  <c:v>28.835000000000001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2-4F22-8C30-4FE89317B0D1}"/>
            </c:ext>
          </c:extLst>
        </c:ser>
        <c:ser>
          <c:idx val="2"/>
          <c:order val="2"/>
          <c:tx>
            <c:strRef>
              <c:f>'2026'!$A$39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'2026'!$B$39:$M$39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2-4F22-8C30-4FE89317B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'2026'!$B$40:$M$40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1-4E61-AC29-85EBC96B25E1}"/>
            </c:ext>
          </c:extLst>
        </c:ser>
        <c:ser>
          <c:idx val="1"/>
          <c:order val="1"/>
          <c:tx>
            <c:strRef>
              <c:f>'2026'!$A$41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'2026'!$B$41:$M$41</c:f>
              <c:numCache>
                <c:formatCode>#,##0</c:formatCode>
                <c:ptCount val="12"/>
                <c:pt idx="0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1-4E61-AC29-85EBC96B25E1}"/>
            </c:ext>
          </c:extLst>
        </c:ser>
        <c:ser>
          <c:idx val="2"/>
          <c:order val="2"/>
          <c:tx>
            <c:strRef>
              <c:f>'2026'!$A$42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'2026'!$B$42:$M$42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1-4E61-AC29-85EBC96B25E1}"/>
            </c:ext>
          </c:extLst>
        </c:ser>
        <c:ser>
          <c:idx val="3"/>
          <c:order val="3"/>
          <c:tx>
            <c:strRef>
              <c:f>'2026'!$A$43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31-4E61-AC29-85EBC96B25E1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31-4E61-AC29-85EBC96B25E1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31-4E61-AC29-85EBC96B25E1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31-4E61-AC29-85EBC96B25E1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31-4E61-AC29-85EBC96B2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'2026'!$B$43:$M$43</c:f>
              <c:numCache>
                <c:formatCode>#,##0</c:formatCode>
                <c:ptCount val="12"/>
                <c:pt idx="0">
                  <c:v>339.95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31-4E61-AC29-85EBC96B25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'2026'!$B$44:$M$44</c:f>
              <c:numCache>
                <c:formatCode>#,##0</c:formatCode>
                <c:ptCount val="12"/>
                <c:pt idx="0">
                  <c:v>19.731000000000002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F55-9454-A6F3CAA4A8BB}"/>
            </c:ext>
          </c:extLst>
        </c:ser>
        <c:ser>
          <c:idx val="1"/>
          <c:order val="1"/>
          <c:tx>
            <c:strRef>
              <c:f>'2026'!$A$45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2-4F55-9454-A6F3CAA4A8BB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2-4F55-9454-A6F3CAA4A8BB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2-4F55-9454-A6F3CAA4A8BB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2-4F55-9454-A6F3CAA4A8BB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92-4F55-9454-A6F3CAA4A8BB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92-4F55-9454-A6F3CAA4A8BB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'2026'!$B$45:$M$45</c:f>
              <c:numCache>
                <c:formatCode>#,##0</c:formatCode>
                <c:ptCount val="12"/>
                <c:pt idx="0">
                  <c:v>119.93300000000001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92-4F55-9454-A6F3CAA4A8BB}"/>
            </c:ext>
          </c:extLst>
        </c:ser>
        <c:ser>
          <c:idx val="2"/>
          <c:order val="2"/>
          <c:tx>
            <c:strRef>
              <c:f>'2026'!$A$46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'2026'!$B$46:$M$46</c:f>
              <c:numCache>
                <c:formatCode>#,##0</c:formatCode>
                <c:ptCount val="12"/>
                <c:pt idx="0">
                  <c:v>7.4349999999999996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92-4F55-9454-A6F3CAA4A8BB}"/>
            </c:ext>
          </c:extLst>
        </c:ser>
        <c:ser>
          <c:idx val="3"/>
          <c:order val="3"/>
          <c:tx>
            <c:strRef>
              <c:f>'2026'!$A$47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'2026'!$B$47:$M$47</c:f>
              <c:numCache>
                <c:formatCode>#,##0</c:formatCode>
                <c:ptCount val="12"/>
                <c:pt idx="0">
                  <c:v>6.1219999999999999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92-4F55-9454-A6F3CAA4A8BB}"/>
            </c:ext>
          </c:extLst>
        </c:ser>
        <c:ser>
          <c:idx val="4"/>
          <c:order val="4"/>
          <c:tx>
            <c:strRef>
              <c:f>'2026'!$A$49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92-4F55-9454-A6F3CAA4A8BB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'2026'!$B$49:$M$49</c:f>
              <c:numCache>
                <c:formatCode>#,##0</c:formatCode>
                <c:ptCount val="12"/>
                <c:pt idx="0">
                  <c:v>145.75299999999999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92-4F55-9454-A6F3CAA4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'2026'!$A$48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DC-4783-8138-A2EE9A969F4C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DC-4783-8138-A2EE9A969F4C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DC-4783-8138-A2EE9A969F4C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DC-4783-8138-A2EE9A969F4C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DC-4783-8138-A2EE9A969F4C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C-4783-8138-A2EE9A969F4C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DC-4783-8138-A2EE9A969F4C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DC-4783-8138-A2EE9A969F4C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DC-4783-8138-A2EE9A969F4C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DC-4783-8138-A2EE9A969F4C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DC-4783-8138-A2EE9A969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'2026'!$B$48:$M$48</c:f>
              <c:numCache>
                <c:formatCode>#,##0</c:formatCode>
                <c:ptCount val="12"/>
                <c:pt idx="0">
                  <c:v>261.02199999999999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DC-4783-8138-A2EE9A969F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ENERO 2026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'2026'!$AV$6:$AV$8</c:f>
              <c:numCache>
                <c:formatCode>0.0</c:formatCode>
                <c:ptCount val="3"/>
                <c:pt idx="0">
                  <c:v>5061.4049999999997</c:v>
                </c:pt>
                <c:pt idx="1">
                  <c:v>4992.1550000000007</c:v>
                </c:pt>
                <c:pt idx="2">
                  <c:v>4969.24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567-9E3C-A6068E50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ENERO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E5-497F-9C33-0F98979C029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5-497F-9C33-0F98979C0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'2026'!$AV$11:$AV$15</c:f>
              <c:numCache>
                <c:formatCode>0.0</c:formatCode>
                <c:ptCount val="5"/>
                <c:pt idx="0">
                  <c:v>144.42100000000028</c:v>
                </c:pt>
                <c:pt idx="1">
                  <c:v>255.80799999999999</c:v>
                </c:pt>
                <c:pt idx="2">
                  <c:v>73.934000000000026</c:v>
                </c:pt>
                <c:pt idx="3">
                  <c:v>115.917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97F-9C33-0F98979C0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ENERO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'2026'!$AU$17:$AU$50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'2026'!$AV$17:$AV$50</c:f>
              <c:numCache>
                <c:formatCode>0.0</c:formatCode>
                <c:ptCount val="34"/>
                <c:pt idx="0">
                  <c:v>158.989</c:v>
                </c:pt>
                <c:pt idx="1">
                  <c:v>0</c:v>
                </c:pt>
                <c:pt idx="2">
                  <c:v>94.637</c:v>
                </c:pt>
                <c:pt idx="3">
                  <c:v>26.518000000000001</c:v>
                </c:pt>
                <c:pt idx="4">
                  <c:v>107.73099999999999</c:v>
                </c:pt>
                <c:pt idx="5">
                  <c:v>0</c:v>
                </c:pt>
                <c:pt idx="6">
                  <c:v>100.416</c:v>
                </c:pt>
                <c:pt idx="7">
                  <c:v>1.008</c:v>
                </c:pt>
                <c:pt idx="8">
                  <c:v>0</c:v>
                </c:pt>
                <c:pt idx="9">
                  <c:v>760.81400000000008</c:v>
                </c:pt>
                <c:pt idx="10">
                  <c:v>0</c:v>
                </c:pt>
                <c:pt idx="11">
                  <c:v>0</c:v>
                </c:pt>
                <c:pt idx="12">
                  <c:v>41.451999999999998</c:v>
                </c:pt>
                <c:pt idx="13">
                  <c:v>0</c:v>
                </c:pt>
                <c:pt idx="14">
                  <c:v>777.52800000000002</c:v>
                </c:pt>
                <c:pt idx="15">
                  <c:v>0</c:v>
                </c:pt>
                <c:pt idx="16">
                  <c:v>159.40600000000001</c:v>
                </c:pt>
                <c:pt idx="17">
                  <c:v>23.766999999999999</c:v>
                </c:pt>
                <c:pt idx="18">
                  <c:v>17.497</c:v>
                </c:pt>
                <c:pt idx="19">
                  <c:v>75.739000000000004</c:v>
                </c:pt>
                <c:pt idx="20">
                  <c:v>0</c:v>
                </c:pt>
                <c:pt idx="21">
                  <c:v>1694.88</c:v>
                </c:pt>
                <c:pt idx="22">
                  <c:v>28.835000000000001</c:v>
                </c:pt>
                <c:pt idx="23">
                  <c:v>0</c:v>
                </c:pt>
                <c:pt idx="24">
                  <c:v>0</c:v>
                </c:pt>
                <c:pt idx="25">
                  <c:v>7.6999999999999999E-2</c:v>
                </c:pt>
                <c:pt idx="26">
                  <c:v>0</c:v>
                </c:pt>
                <c:pt idx="27">
                  <c:v>339.95</c:v>
                </c:pt>
                <c:pt idx="28">
                  <c:v>19.731000000000002</c:v>
                </c:pt>
                <c:pt idx="29">
                  <c:v>119.93300000000001</c:v>
                </c:pt>
                <c:pt idx="30">
                  <c:v>7.4349999999999996</c:v>
                </c:pt>
                <c:pt idx="31">
                  <c:v>6.1219999999999999</c:v>
                </c:pt>
                <c:pt idx="32">
                  <c:v>261.02199999999999</c:v>
                </c:pt>
                <c:pt idx="33">
                  <c:v>145.75299999999999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F-4DFD-AD85-6DF7C60D18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86.841999999999999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83.688000000000002</c:v>
                </c:pt>
                <c:pt idx="9">
                  <c:v>88.281000000000006</c:v>
                </c:pt>
                <c:pt idx="10">
                  <c:v>98.222999999999999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18.920999999999992</c:v>
                </c:pt>
                <c:pt idx="7">
                  <c:v>1.4039999999999964</c:v>
                </c:pt>
                <c:pt idx="8">
                  <c:v>0</c:v>
                </c:pt>
                <c:pt idx="9">
                  <c:v>26.23899999999999</c:v>
                </c:pt>
                <c:pt idx="10">
                  <c:v>13.198999999999998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'2026'!$B$16:$M$16</c:f>
              <c:numCache>
                <c:formatCode>#,##0</c:formatCode>
                <c:ptCount val="12"/>
                <c:pt idx="0">
                  <c:v>158.989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6-4F3B-9C47-11F7BEB34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690-4D98-A910-542DA632303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'2026'!$B$15:$M$15</c:f>
              <c:numCache>
                <c:formatCode>#,##0</c:formatCode>
                <c:ptCount val="12"/>
                <c:pt idx="0">
                  <c:v>4969.24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0-4D98-A910-542DA63230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Evolución_Anual!$B$2:$N$2</c:f>
              <c:numCache>
                <c:formatCode>0.00</c:formatCode>
                <c:ptCount val="13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  <c:pt idx="12" formatCode="0">
                  <c:v>1.2979999999999998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Evolución_Anual!$B$3:$N$3</c:f>
              <c:numCache>
                <c:formatCode>0.00</c:formatCode>
                <c:ptCount val="13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64587.901999999995</c:v>
                </c:pt>
                <c:pt idx="12" formatCode="0">
                  <c:v>61422.786000000007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Evolución_Anual!$B$25:$N$25</c:f>
              <c:numCache>
                <c:formatCode>0.00</c:formatCode>
                <c:ptCount val="13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535.59599999999989</c:v>
                </c:pt>
                <c:pt idx="12" formatCode="0">
                  <c:v>485.91200000000003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Evolución_Anual!$B$26:$N$26</c:f>
              <c:numCache>
                <c:formatCode>0.00</c:formatCode>
                <c:ptCount val="13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Evolución_Anual!$B$27:$N$27</c:f>
              <c:numCache>
                <c:formatCode>0.00</c:formatCode>
                <c:ptCount val="13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9841.1860000000015</c:v>
                </c:pt>
                <c:pt idx="12" formatCode="0">
                  <c:v>9377.8389999999999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Evolución_Anual!$B$13:$N$13</c:f>
              <c:numCache>
                <c:formatCode>0.00</c:formatCode>
                <c:ptCount val="13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  <c:pt idx="12" formatCode="0">
                  <c:v>2139.5040000000004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Evolución_Anual!$B$14:$N$14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Evolución_Anual!$B$15:$N$15</c:f>
              <c:numCache>
                <c:formatCode>0.00</c:formatCode>
                <c:ptCount val="13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1114.037</c:v>
                </c:pt>
                <c:pt idx="12" formatCode="0">
                  <c:v>1078.8699999999999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Evolución_Anual!$B$16:$N$16</c:f>
              <c:numCache>
                <c:formatCode>0.00</c:formatCode>
                <c:ptCount val="13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138.755</c:v>
                </c:pt>
                <c:pt idx="12" formatCode="0">
                  <c:v>177.26800000000003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Evolución_Anual!$B$22:$N$22</c:f>
              <c:numCache>
                <c:formatCode>0.00</c:formatCode>
                <c:ptCount val="13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8527.4339999999993</c:v>
                </c:pt>
                <c:pt idx="12" formatCode="0">
                  <c:v>8427.5649999999987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Evolución_Anual!$B$28:$N$28</c:f>
              <c:numCache>
                <c:formatCode>0.00</c:formatCode>
                <c:ptCount val="13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Evolución_Anual!$B$29:$N$29</c:f>
              <c:numCache>
                <c:formatCode>0.00</c:formatCode>
                <c:ptCount val="13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2943.8580000000002</c:v>
                </c:pt>
                <c:pt idx="12" formatCode="0">
                  <c:v>3080.652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Evolución_Anual!$B$30:$N$30</c:f>
              <c:numCache>
                <c:formatCode>0.00</c:formatCode>
                <c:ptCount val="13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  <c:pt idx="12" formatCode="0">
                  <c:v>339.786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Evolución_Anual!$B$31:$N$31</c:f>
              <c:numCache>
                <c:formatCode>0.00</c:formatCode>
                <c:ptCount val="13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  <c:pt idx="12" formatCode="0">
                  <c:v>107.73699999999999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Evolución_Anual!$B$32:$N$32</c:f>
              <c:numCache>
                <c:formatCode>0.00</c:formatCode>
                <c:ptCount val="13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  <c:pt idx="12" formatCode="0">
                  <c:v>915.2349999999999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Evolución_Anual!$B$33:$N$33</c:f>
              <c:numCache>
                <c:formatCode>0.00</c:formatCode>
                <c:ptCount val="13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157.625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795.476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674.23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Evolución_Anual!$B$34:$N$34</c:f>
              <c:numCache>
                <c:formatCode>0.00</c:formatCode>
                <c:ptCount val="13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21056.342000000001</c:v>
                </c:pt>
                <c:pt idx="12" formatCode="0">
                  <c:v>20511.314000000002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Evolución_Anual!$B$37:$N$37</c:f>
              <c:numCache>
                <c:formatCode>0.00</c:formatCode>
                <c:ptCount val="13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2E-3</c:v>
                </c:pt>
                <c:pt idx="12" formatCode="0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Evolución_Anual!$B$38:$N$38</c:f>
              <c:numCache>
                <c:formatCode>0.00</c:formatCode>
                <c:ptCount val="13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  <c:pt idx="12" formatCode="0">
                  <c:v>0.58799999999999997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Evolución_Anual!$B$39:$N$39</c:f>
              <c:numCache>
                <c:formatCode>0.00</c:formatCode>
                <c:ptCount val="13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  <c:pt idx="12" formatCode="0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Evolución_Anual!$B$40:$N$40</c:f>
              <c:numCache>
                <c:formatCode>0.00</c:formatCode>
                <c:ptCount val="13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4651.2349999999988</c:v>
                </c:pt>
                <c:pt idx="12" formatCode="0">
                  <c:v>3790.4009999999998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Evolución_Anual!$B$45:$N$45</c:f>
              <c:numCache>
                <c:formatCode>0.00</c:formatCode>
                <c:ptCount val="13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  <c:pt idx="12" formatCode="0">
                  <c:v>3355.8310000000001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Evolución_Anual!$B$41:$N$41</c:f>
              <c:numCache>
                <c:formatCode>0.00</c:formatCode>
                <c:ptCount val="13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  <c:pt idx="12" formatCode="0">
                  <c:v>286.56900000000002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Evolución_Anual!$B$42:$N$42</c:f>
              <c:numCache>
                <c:formatCode>0.00</c:formatCode>
                <c:ptCount val="13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1869.1480000000001</c:v>
                </c:pt>
                <c:pt idx="12" formatCode="0">
                  <c:v>1661.4799999999998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Evolución_Anual!$B$43:$N$43</c:f>
              <c:numCache>
                <c:formatCode>0.00</c:formatCode>
                <c:ptCount val="13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  <c:pt idx="12" formatCode="0">
                  <c:v>117.032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Evolución_Anual!$B$44:$N$44</c:f>
              <c:numCache>
                <c:formatCode>0.00</c:formatCode>
                <c:ptCount val="13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  <c:pt idx="12" formatCode="0">
                  <c:v>69.989999999999995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Evolución_Anual!$B$46:$N$46</c:f>
              <c:numCache>
                <c:formatCode>0.00</c:formatCode>
                <c:ptCount val="13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2282.1070000000004</c:v>
                </c:pt>
                <c:pt idx="12" formatCode="0">
                  <c:v>2544.3880000000004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Evolución_Anual!$B$17:$N$17</c:f>
              <c:numCache>
                <c:formatCode>0.00</c:formatCode>
                <c:ptCount val="13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1729.239</c:v>
                </c:pt>
                <c:pt idx="12" formatCode="0">
                  <c:v>1501.35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Evolución_Anual!$B$18:$N$18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Evolución_Anual!$B$19:$N$19</c:f>
              <c:numCache>
                <c:formatCode>0.00</c:formatCode>
                <c:ptCount val="13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  <c:pt idx="12" formatCode="0">
                  <c:v>1098.3209999999999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Evolución_Anual!$B$20:$N$20</c:f>
              <c:numCache>
                <c:formatCode>0.00</c:formatCode>
                <c:ptCount val="13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  <c:pt idx="12" formatCode="0">
                  <c:v>107.64299999999999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Evolución_Anual!$B$21:$N$21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Evolución_Anual!$B$9:$N$9</c:f>
              <c:numCache>
                <c:formatCode>0.00</c:formatCode>
                <c:ptCount val="13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65014.002999999997</c:v>
                </c:pt>
                <c:pt idx="12" formatCode="0">
                  <c:v>62605.512999999992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Evolución_Anual!$B$10:$N$10</c:f>
              <c:numCache>
                <c:formatCode>0.00</c:formatCode>
                <c:ptCount val="13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64336.185999999994</c:v>
                </c:pt>
                <c:pt idx="12" formatCode="0">
                  <c:v>61443.969999999987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Evolución_Anual!$B$11:$N$11</c:f>
              <c:numCache>
                <c:formatCode>0.00</c:formatCode>
                <c:ptCount val="13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1608.0269999999955</c:v>
                </c:pt>
                <c:pt idx="12" formatCode="0">
                  <c:v>1052.6549999999979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Evolución_Anual!$B$12:$N$12</c:f>
              <c:numCache>
                <c:formatCode>0.00</c:formatCode>
                <c:ptCount val="13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63405.976000000002</c:v>
                </c:pt>
                <c:pt idx="12" formatCode="0">
                  <c:v>61552.858000000007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5313.8450000000003</c:v>
                </c:pt>
                <c:pt idx="1">
                  <c:v>5651.0149999999994</c:v>
                </c:pt>
                <c:pt idx="2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135.24399999999969</c:v>
                </c:pt>
                <c:pt idx="1">
                  <c:v>-60.182000000000002</c:v>
                </c:pt>
                <c:pt idx="2">
                  <c:v>-119.8</c:v>
                </c:pt>
                <c:pt idx="3">
                  <c:v>21.766999999999999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39.798999999999999</c:v>
                </c:pt>
                <c:pt idx="6">
                  <c:v>41.496000000000002</c:v>
                </c:pt>
                <c:pt idx="7">
                  <c:v>35.677</c:v>
                </c:pt>
                <c:pt idx="8">
                  <c:v>50.930999999999997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766.79899999999998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177.39500000000001</c:v>
                </c:pt>
                <c:pt idx="1">
                  <c:v>0</c:v>
                </c:pt>
                <c:pt idx="2">
                  <c:v>102.169</c:v>
                </c:pt>
                <c:pt idx="3">
                  <c:v>39.63000000000001</c:v>
                </c:pt>
                <c:pt idx="4">
                  <c:v>118.176</c:v>
                </c:pt>
                <c:pt idx="5">
                  <c:v>0</c:v>
                </c:pt>
                <c:pt idx="6">
                  <c:v>101.95399999999999</c:v>
                </c:pt>
                <c:pt idx="7">
                  <c:v>12.023</c:v>
                </c:pt>
                <c:pt idx="8">
                  <c:v>0</c:v>
                </c:pt>
                <c:pt idx="9">
                  <c:v>814.35699999999997</c:v>
                </c:pt>
                <c:pt idx="10">
                  <c:v>0</c:v>
                </c:pt>
                <c:pt idx="11">
                  <c:v>0</c:v>
                </c:pt>
                <c:pt idx="12">
                  <c:v>37.429000000000002</c:v>
                </c:pt>
                <c:pt idx="13">
                  <c:v>0</c:v>
                </c:pt>
                <c:pt idx="14">
                  <c:v>820.97799999999995</c:v>
                </c:pt>
                <c:pt idx="15">
                  <c:v>0</c:v>
                </c:pt>
                <c:pt idx="16">
                  <c:v>220.477</c:v>
                </c:pt>
                <c:pt idx="17">
                  <c:v>41.887999999999998</c:v>
                </c:pt>
                <c:pt idx="18">
                  <c:v>16.911000000000001</c:v>
                </c:pt>
                <c:pt idx="19">
                  <c:v>82.55</c:v>
                </c:pt>
                <c:pt idx="20">
                  <c:v>0</c:v>
                </c:pt>
                <c:pt idx="21">
                  <c:v>1950.3790000000001</c:v>
                </c:pt>
                <c:pt idx="22">
                  <c:v>37.762</c:v>
                </c:pt>
                <c:pt idx="23">
                  <c:v>0</c:v>
                </c:pt>
                <c:pt idx="24">
                  <c:v>0</c:v>
                </c:pt>
                <c:pt idx="25">
                  <c:v>9.2999999999999999E-2</c:v>
                </c:pt>
                <c:pt idx="26">
                  <c:v>0</c:v>
                </c:pt>
                <c:pt idx="27">
                  <c:v>365.63099999999997</c:v>
                </c:pt>
                <c:pt idx="28">
                  <c:v>24.800999999999998</c:v>
                </c:pt>
                <c:pt idx="29">
                  <c:v>147.65799999999999</c:v>
                </c:pt>
                <c:pt idx="30">
                  <c:v>8.3819999999999997</c:v>
                </c:pt>
                <c:pt idx="31">
                  <c:v>4.7439999999999998</c:v>
                </c:pt>
                <c:pt idx="32">
                  <c:v>295.5</c:v>
                </c:pt>
                <c:pt idx="33">
                  <c:v>164.13600000000133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  <c:pt idx="9">
                  <c:v>235.096</c:v>
                </c:pt>
                <c:pt idx="10">
                  <c:v>235.828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1932.47</c:v>
                </c:pt>
                <c:pt idx="1">
                  <c:v>1785.8960000000002</c:v>
                </c:pt>
                <c:pt idx="2">
                  <c:v>1790.7059999999999</c:v>
                </c:pt>
                <c:pt idx="3">
                  <c:v>1744.5520000000001</c:v>
                </c:pt>
                <c:pt idx="4">
                  <c:v>1900.4830000000002</c:v>
                </c:pt>
                <c:pt idx="5">
                  <c:v>1689.923</c:v>
                </c:pt>
                <c:pt idx="6">
                  <c:v>1784.0399999999997</c:v>
                </c:pt>
                <c:pt idx="7">
                  <c:v>1765.1760000000002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1528.5329999999999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8.4109999999999996</c:v>
                </c:pt>
                <c:pt idx="1">
                  <c:v>7.27</c:v>
                </c:pt>
                <c:pt idx="2">
                  <c:v>18.771000000000001</c:v>
                </c:pt>
                <c:pt idx="3">
                  <c:v>29.706</c:v>
                </c:pt>
                <c:pt idx="4">
                  <c:v>38.770000000000003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17" Type="http://schemas.openxmlformats.org/officeDocument/2006/relationships/chart" Target="../charts/chart51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13" Type="http://schemas.openxmlformats.org/officeDocument/2006/relationships/chart" Target="../charts/chart64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2" Type="http://schemas.openxmlformats.org/officeDocument/2006/relationships/chart" Target="../charts/chart53.xml"/><Relationship Id="rId16" Type="http://schemas.openxmlformats.org/officeDocument/2006/relationships/chart" Target="../charts/chart67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5" Type="http://schemas.openxmlformats.org/officeDocument/2006/relationships/chart" Target="../charts/chart56.xml"/><Relationship Id="rId15" Type="http://schemas.openxmlformats.org/officeDocument/2006/relationships/chart" Target="../charts/chart66.xml"/><Relationship Id="rId10" Type="http://schemas.openxmlformats.org/officeDocument/2006/relationships/chart" Target="../charts/chart61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Relationship Id="rId14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D27F222D-643A-4C45-8BDC-55C9E8923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85DF3D1-CD6F-4432-A89B-929327696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CCD150C0-B0C1-448F-B20C-FD498D4D6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E8DE926B-0DF2-409E-9BAD-60391F7A3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1A32229F-DCB8-4A7D-B9EC-C5F16FD46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22AFB9F-D604-400E-BFE8-E0AA25102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956C730F-B012-43C9-8508-5038AB2BF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3E7785D1-E6C3-47B5-A227-6C299A14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581978DF-161B-4418-8E3D-8B3B6949B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85C74E3F-1F1D-45C6-9999-8E0918D1E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490275D0-0A12-435B-B25E-538FE0F45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EB50EA30-AE7A-475E-91B3-DBC9F24F2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370128FD-1236-4D36-BE2D-B1FAB75F8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B6111BD-291B-4472-9B07-0B22473FF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843FD067-D0D1-4A6E-BF85-CAAEFE7CF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25CBA7A-FFD4-4783-A981-E844FC476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529487F0-4E2B-4DB4-86BF-405B65D77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15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16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21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21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15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21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16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21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21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21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16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4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21</xdr:row>
      <xdr:rowOff>86590</xdr:rowOff>
    </xdr:from>
    <xdr:ext cx="5962402" cy="39811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4</xdr:row>
      <xdr:rowOff>11205</xdr:rowOff>
    </xdr:from>
    <xdr:ext cx="7958132" cy="7093324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Normal="100" workbookViewId="0">
      <selection activeCell="H23" sqref="H23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4" t="s">
        <v>59</v>
      </c>
      <c r="C13" s="94"/>
      <c r="D13" s="94"/>
      <c r="E13" s="94"/>
      <c r="F13" s="94"/>
      <c r="G13" s="94"/>
      <c r="H13" s="94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4"/>
      <c r="C14" s="94"/>
      <c r="D14" s="94"/>
      <c r="E14" s="94"/>
      <c r="F14" s="94"/>
      <c r="G14" s="94"/>
      <c r="H14" s="94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5" t="str">
        <f>'2026'!AV3</f>
        <v>ENERO 2026</v>
      </c>
      <c r="C16" s="95"/>
      <c r="D16" s="95"/>
      <c r="E16" s="95"/>
      <c r="F16" s="95"/>
      <c r="G16" s="95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5"/>
      <c r="C17" s="95"/>
      <c r="D17" s="95"/>
      <c r="E17" s="95"/>
      <c r="F17" s="95"/>
      <c r="G17" s="95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5"/>
      <c r="C18" s="95"/>
      <c r="D18" s="95"/>
      <c r="E18" s="95"/>
      <c r="F18" s="95"/>
      <c r="G18" s="95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6" t="s">
        <v>67</v>
      </c>
      <c r="B34" s="96"/>
      <c r="C34" s="96"/>
      <c r="D34" s="96"/>
      <c r="E34" s="96"/>
      <c r="F34" s="96"/>
      <c r="G34" s="96"/>
      <c r="H34" s="96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I250"/>
  <sheetViews>
    <sheetView showGridLines="0" topLeftCell="D5" zoomScale="70" zoomScaleNormal="70" workbookViewId="0">
      <selection activeCell="N5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5060.8040000000001</v>
      </c>
      <c r="E6" s="24">
        <v>6148.0309999999999</v>
      </c>
      <c r="F6" s="24">
        <v>5922.1580000000004</v>
      </c>
      <c r="G6" s="24">
        <v>5076.2169999999996</v>
      </c>
      <c r="H6" s="24">
        <v>4951.8909999999996</v>
      </c>
      <c r="I6" s="24">
        <v>5766.31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64587.901999999995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5234.32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93.736999999999171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111.55199999999968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5482.2209999999995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-256.63900000000001</v>
      </c>
      <c r="E8" s="28">
        <v>769.74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5415.1689999999999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-72.738999999999976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-28.793000000000035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-7.6350000000002183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5572.0019999999995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65014.002999999997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-7.3010000000000002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5489.43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64336.185999999994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-196.66900000000001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109.16399999999976</v>
      </c>
      <c r="C14" s="28">
        <v>262.67499999999836</v>
      </c>
      <c r="D14" s="28">
        <v>155.60100000000057</v>
      </c>
      <c r="E14" s="28">
        <v>148.85899999999947</v>
      </c>
      <c r="F14" s="28">
        <v>286.02500000000055</v>
      </c>
      <c r="G14" s="28">
        <v>110.57300000000032</v>
      </c>
      <c r="H14" s="28">
        <v>57.899000000000342</v>
      </c>
      <c r="I14" s="46">
        <v>89.593999999999141</v>
      </c>
      <c r="J14" s="28">
        <v>34.008999999998196</v>
      </c>
      <c r="K14" s="28">
        <v>81.345000000000255</v>
      </c>
      <c r="L14" s="28">
        <v>205.23099999999886</v>
      </c>
      <c r="M14" s="28">
        <v>67.05199999999968</v>
      </c>
      <c r="N14" s="29">
        <f t="shared" si="0"/>
        <v>1608.0269999999955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51.342999999999996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5627.1900000000005</v>
      </c>
      <c r="C15" s="24">
        <f t="shared" si="1"/>
        <v>5224.4060000000009</v>
      </c>
      <c r="D15" s="24">
        <f t="shared" si="1"/>
        <v>5169.4089999999997</v>
      </c>
      <c r="E15" s="24">
        <f t="shared" si="1"/>
        <v>5233.6220000000003</v>
      </c>
      <c r="F15" s="24">
        <f t="shared" si="1"/>
        <v>5642.6579999999994</v>
      </c>
      <c r="G15" s="24">
        <f t="shared" si="1"/>
        <v>4961.1239999999998</v>
      </c>
      <c r="H15" s="24">
        <f t="shared" si="1"/>
        <v>5539.5619999999999</v>
      </c>
      <c r="I15" s="24">
        <f t="shared" si="1"/>
        <v>5482.4080000000004</v>
      </c>
      <c r="J15" s="24">
        <f t="shared" si="1"/>
        <v>5046.0910000000013</v>
      </c>
      <c r="K15" s="24">
        <f t="shared" si="1"/>
        <v>5183.6080000000002</v>
      </c>
      <c r="L15" s="24">
        <f t="shared" si="1"/>
        <v>4880.7290000000012</v>
      </c>
      <c r="M15" s="24">
        <f t="shared" si="1"/>
        <v>5415.1689999999999</v>
      </c>
      <c r="N15" s="25">
        <f t="shared" si="0"/>
        <v>63405.976000000002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177.91800000000001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86.841999999999999</v>
      </c>
      <c r="G18" s="2">
        <v>74.088999999999999</v>
      </c>
      <c r="H18" s="2">
        <v>93.162000000000006</v>
      </c>
      <c r="I18" s="2">
        <v>83.454999999999998</v>
      </c>
      <c r="J18" s="2">
        <v>83.688000000000002</v>
      </c>
      <c r="K18" s="2">
        <v>88.281000000000006</v>
      </c>
      <c r="L18" s="2">
        <v>98.222999999999999</v>
      </c>
      <c r="M18" s="2">
        <v>115.131</v>
      </c>
      <c r="N18" s="4">
        <f t="shared" si="0"/>
        <v>1114.037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18.920999999999992</v>
      </c>
      <c r="I19" s="2">
        <v>1.4039999999999964</v>
      </c>
      <c r="J19" s="2">
        <v>0</v>
      </c>
      <c r="K19" s="2">
        <v>26.23899999999999</v>
      </c>
      <c r="L19" s="2">
        <v>13.198999999999998</v>
      </c>
      <c r="M19" s="2">
        <v>25.479000000000013</v>
      </c>
      <c r="N19" s="4">
        <f t="shared" si="0"/>
        <v>138.755</v>
      </c>
      <c r="AU19" s="80" t="str">
        <f t="shared" si="2"/>
        <v>Butano</v>
      </c>
      <c r="AV19" s="81">
        <f>HLOOKUP(MAXA(B4:M4),$B$4:$M$49,15,FALSE)</f>
        <v>115.131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157.625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1729.239</v>
      </c>
      <c r="AU20" s="80" t="str">
        <f t="shared" si="2"/>
        <v>Propano</v>
      </c>
      <c r="AV20" s="81">
        <f>HLOOKUP(MAXA(B4:M4),$B$4:$M$49,16,FALSE)</f>
        <v>25.479000000000013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164.97399999999999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80" t="str">
        <f t="shared" si="2"/>
        <v>Gasolina 95 I.O.</v>
      </c>
      <c r="AV23" s="81">
        <f>HLOOKUP(MAXA(B4:M4),$B$4:$M$49,19,FALSE)</f>
        <v>97.415000000000006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5.5869999999999997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795.476</v>
      </c>
      <c r="J25" s="2">
        <v>722.02499999999998</v>
      </c>
      <c r="K25" s="2">
        <v>670.45699999999999</v>
      </c>
      <c r="L25" s="2">
        <v>674.23</v>
      </c>
      <c r="M25" s="2">
        <v>743.75700000000006</v>
      </c>
      <c r="N25" s="4">
        <f t="shared" si="0"/>
        <v>8527.4339999999993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743.75700000000006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39.798999999999999</v>
      </c>
      <c r="H28" s="2">
        <v>41.496000000000002</v>
      </c>
      <c r="I28" s="2">
        <v>35.677</v>
      </c>
      <c r="J28" s="2">
        <v>50.930999999999997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535.59599999999989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47.030999999999999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766.79899999999998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9841.1860000000015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784.56600000000003</v>
      </c>
      <c r="AW31" s="81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>
        <v>235.096</v>
      </c>
      <c r="L32" s="2">
        <v>235.828</v>
      </c>
      <c r="M32" s="2">
        <v>244.75200000000001</v>
      </c>
      <c r="N32" s="4">
        <f t="shared" si="0"/>
        <v>2943.8580000000002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80" t="str">
        <f t="shared" si="2"/>
        <v>Gasóleo A 10 PPM</v>
      </c>
      <c r="AV33" s="81">
        <f>HLOOKUP(MAXA(B4:M4),$B$4:$M$49,29,FALSE)</f>
        <v>244.75200000000001</v>
      </c>
      <c r="AW33" s="81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80" t="str">
        <f t="shared" si="2"/>
        <v>Gasóleo B</v>
      </c>
      <c r="AV34" s="81">
        <f>HLOOKUP(MAXA(B4:M4),$B$4:$M$49,30,FALSE)</f>
        <v>38.040999999999997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80" t="str">
        <f t="shared" si="2"/>
        <v>Gasóleo C</v>
      </c>
      <c r="AV35" s="81">
        <f>HLOOKUP(MAXA(B4:M4),$B$4:$M$49,31,FALSE)</f>
        <v>11.247999999999999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62.74</v>
      </c>
      <c r="AW36" s="81"/>
    </row>
    <row r="37" spans="1:49" ht="16.5" customHeight="1" x14ac:dyDescent="0.2">
      <c r="A37" s="9" t="s">
        <v>35</v>
      </c>
      <c r="B37" s="3">
        <v>1932.47</v>
      </c>
      <c r="C37" s="2">
        <v>1785.8960000000002</v>
      </c>
      <c r="D37" s="2">
        <v>1790.7059999999999</v>
      </c>
      <c r="E37" s="2">
        <v>1744.5520000000001</v>
      </c>
      <c r="F37" s="2">
        <v>1900.4830000000002</v>
      </c>
      <c r="G37" s="2">
        <v>1689.923</v>
      </c>
      <c r="H37" s="2">
        <v>1784.0399999999997</v>
      </c>
      <c r="I37" s="2">
        <v>1765.1760000000002</v>
      </c>
      <c r="J37" s="2">
        <v>1620.6510000000001</v>
      </c>
      <c r="K37" s="2">
        <v>1733.66</v>
      </c>
      <c r="L37" s="2">
        <v>1528.5329999999999</v>
      </c>
      <c r="M37" s="2">
        <v>1780.252</v>
      </c>
      <c r="N37" s="4">
        <f t="shared" si="0"/>
        <v>21056.342000000001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>
        <v>7.27</v>
      </c>
      <c r="D38" s="2">
        <v>18.771000000000001</v>
      </c>
      <c r="E38" s="2">
        <v>29.706</v>
      </c>
      <c r="F38" s="2">
        <v>38.770000000000003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320.53299999999996</v>
      </c>
      <c r="AU38" s="80" t="str">
        <f t="shared" si="2"/>
        <v>Otros Gasóleos</v>
      </c>
      <c r="AV38" s="81">
        <f>HLOOKUP(MAXA(B4:M4),$B$4:$M$49,34,FALSE)</f>
        <v>1780.252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14.125</v>
      </c>
      <c r="AW39" s="81"/>
    </row>
    <row r="40" spans="1:49" ht="16.5" customHeight="1" x14ac:dyDescent="0.2">
      <c r="A40" s="9" t="s">
        <v>38</v>
      </c>
      <c r="B40" s="3">
        <v>0</v>
      </c>
      <c r="C40" s="2">
        <v>1E-3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2E-3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451.30899999999997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4651.2349999999988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80" t="str">
        <f t="shared" si="2"/>
        <v>Otros Fuelóleos</v>
      </c>
      <c r="AV44" s="81">
        <f>HLOOKUP(MAXA(B4:M4),$B$4:$M$49,40,FALSE)</f>
        <v>383.76700000000005</v>
      </c>
      <c r="AW44" s="81"/>
    </row>
    <row r="45" spans="1:49" ht="16.5" customHeight="1" x14ac:dyDescent="0.2">
      <c r="A45" s="9" t="s">
        <v>42</v>
      </c>
      <c r="B45" s="3">
        <v>120.874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1869.1480000000001</v>
      </c>
      <c r="AU45" s="80" t="str">
        <f t="shared" si="2"/>
        <v>Aceites y bases lubricantes</v>
      </c>
      <c r="AV45" s="81">
        <f>HLOOKUP(MAXA(B4:M4),$B$4:$M$49,41,FALSE)</f>
        <v>24.454999999999998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80" t="str">
        <f t="shared" si="2"/>
        <v>Productos asfálticos</v>
      </c>
      <c r="AV46" s="81">
        <f>HLOOKUP(MAXA(B4:M4),$B$4:$M$49,42,FALSE)</f>
        <v>156.809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80" t="str">
        <f t="shared" si="2"/>
        <v>Disolventes</v>
      </c>
      <c r="AV47" s="81">
        <f>HLOOKUP(MAXA(B4:M4),$B$4:$M$49,43,FALSE)</f>
        <v>5.6609999999999996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80" t="str">
        <f t="shared" si="2"/>
        <v>Parafinas</v>
      </c>
      <c r="AV48" s="81">
        <f>HLOOKUP(MAXA(B4:M4),$B$4:$M$49,44,FALSE)</f>
        <v>3.887</v>
      </c>
      <c r="AW48" s="81"/>
    </row>
    <row r="49" spans="1:49" ht="18" customHeight="1" x14ac:dyDescent="0.2">
      <c r="A49" s="10" t="s">
        <v>52</v>
      </c>
      <c r="B49" s="7">
        <v>178.6200000000008</v>
      </c>
      <c r="C49" s="5">
        <v>236.21699999999998</v>
      </c>
      <c r="D49" s="5">
        <v>80.967999999998938</v>
      </c>
      <c r="E49" s="5">
        <v>143.25099999999998</v>
      </c>
      <c r="F49" s="5">
        <v>222.02399999999852</v>
      </c>
      <c r="G49" s="5">
        <v>120.74400000000151</v>
      </c>
      <c r="H49" s="5">
        <v>212.26999999999953</v>
      </c>
      <c r="I49" s="5">
        <v>254.46400000000085</v>
      </c>
      <c r="J49" s="5">
        <v>162.32900000000063</v>
      </c>
      <c r="K49" s="5">
        <v>175.37199999999939</v>
      </c>
      <c r="L49" s="5">
        <v>272.31500000000051</v>
      </c>
      <c r="M49" s="5">
        <v>223.53300000000002</v>
      </c>
      <c r="N49" s="6">
        <f t="shared" si="0"/>
        <v>2282.1070000000004</v>
      </c>
      <c r="AU49" s="80" t="str">
        <f t="shared" si="2"/>
        <v>Coque de petróleo</v>
      </c>
      <c r="AV49" s="81">
        <f>HLOOKUP(MAXA(B4:M4),$B$4:$M$49,45,FALSE)</f>
        <v>304.04000000000002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223.53300000000002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I250"/>
  <sheetViews>
    <sheetView showGridLines="0" topLeftCell="A2" zoomScale="85" zoomScaleNormal="85" workbookViewId="0">
      <selection activeCell="K32" sqref="K32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Q1" s="53" t="str">
        <f>"MOVIMIENTO DE CRUDOS Y OBTENCIÓN DE PRODUCTOS PETROLÍFEROS - " &amp;AV3</f>
        <v>MOVIMIENTO DE CRUDOS Y OBTENCIÓN DE PRODUCTOS PETROLÍFEROS - DICIEMBRE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2025</v>
      </c>
    </row>
    <row r="4" spans="1:61" s="16" customFormat="1" ht="21" customHeight="1" x14ac:dyDescent="0.2">
      <c r="A4" s="11" t="s">
        <v>13</v>
      </c>
      <c r="B4" s="12">
        <v>45658</v>
      </c>
      <c r="C4" s="13">
        <v>45689</v>
      </c>
      <c r="D4" s="13">
        <v>45717</v>
      </c>
      <c r="E4" s="13">
        <v>45748</v>
      </c>
      <c r="F4" s="13">
        <v>45778</v>
      </c>
      <c r="G4" s="13">
        <v>45809</v>
      </c>
      <c r="H4" s="13">
        <v>45839</v>
      </c>
      <c r="I4" s="14">
        <v>45870</v>
      </c>
      <c r="J4" s="14">
        <v>45901</v>
      </c>
      <c r="K4" s="14">
        <v>45931</v>
      </c>
      <c r="L4" s="13">
        <v>45962</v>
      </c>
      <c r="M4" s="13">
        <v>45992</v>
      </c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>
        <v>0.17599999999999999</v>
      </c>
      <c r="E5" s="19">
        <v>6.0000000000000001E-3</v>
      </c>
      <c r="F5" s="19">
        <v>0</v>
      </c>
      <c r="G5" s="19">
        <v>0</v>
      </c>
      <c r="H5" s="19">
        <v>0</v>
      </c>
      <c r="I5" s="45">
        <v>0</v>
      </c>
      <c r="J5" s="19">
        <v>0</v>
      </c>
      <c r="K5" s="19">
        <v>8.3000000000000004E-2</v>
      </c>
      <c r="L5" s="19">
        <v>0.21</v>
      </c>
      <c r="M5" s="19">
        <v>0.17699999999999999</v>
      </c>
      <c r="N5" s="20">
        <f>SUM(B5:M5)</f>
        <v>1.2979999999999998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>
        <v>5310.0219999999999</v>
      </c>
      <c r="E6" s="24">
        <v>4795.9139999999998</v>
      </c>
      <c r="F6" s="24">
        <v>4790.9260000000004</v>
      </c>
      <c r="G6" s="24">
        <v>4131.1869999999999</v>
      </c>
      <c r="H6" s="24">
        <v>5834.3440000000001</v>
      </c>
      <c r="I6" s="24">
        <v>5137.7950000000001</v>
      </c>
      <c r="J6" s="24">
        <v>5154.0079999999998</v>
      </c>
      <c r="K6" s="24">
        <v>5694.6390000000001</v>
      </c>
      <c r="L6" s="24">
        <v>5005.2659999999996</v>
      </c>
      <c r="M6" s="24">
        <v>5313.8450000000003</v>
      </c>
      <c r="N6" s="25">
        <f>SUM(B6:M6)</f>
        <v>61422.786000000007</v>
      </c>
      <c r="P6" s="34"/>
      <c r="Q6" s="34"/>
      <c r="R6" s="47"/>
      <c r="AS6" s="32"/>
      <c r="AT6" s="75"/>
      <c r="AU6" s="37" t="str">
        <f>A6</f>
        <v>IMPORTACIONES DE CRUDO</v>
      </c>
      <c r="AV6" s="93">
        <f>HLOOKUP(MAXA(B4:M4),$B$4:$M$6,3,FALSE)</f>
        <v>5313.8450000000003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-49.119000000000597</v>
      </c>
      <c r="D7" s="28">
        <v>-73.728000000000065</v>
      </c>
      <c r="E7" s="28">
        <v>231.78200000000015</v>
      </c>
      <c r="F7" s="28">
        <v>104.94999999999982</v>
      </c>
      <c r="G7" s="28">
        <v>91.760000000000218</v>
      </c>
      <c r="H7" s="28">
        <v>126.97199999999975</v>
      </c>
      <c r="I7" s="28">
        <v>-28.425999999999476</v>
      </c>
      <c r="J7" s="28">
        <v>211.86800000000039</v>
      </c>
      <c r="K7" s="28">
        <v>-79.953999999999724</v>
      </c>
      <c r="L7" s="28">
        <v>13.743000000000393</v>
      </c>
      <c r="M7" s="28">
        <v>135.24399999999969</v>
      </c>
      <c r="N7" s="29">
        <f t="shared" ref="N7:N49" si="0">SUM(B7:M7)</f>
        <v>878.07300000000123</v>
      </c>
      <c r="P7" s="34"/>
      <c r="Q7" s="34"/>
      <c r="R7" s="47"/>
      <c r="AS7" s="32"/>
      <c r="AT7" s="75"/>
      <c r="AU7" s="37" t="str">
        <f>A12</f>
        <v>TOTAL PROCESADO</v>
      </c>
      <c r="AV7" s="93">
        <f>HLOOKUP(MAXA(B4:M4),$B$4:$M$12,9,FALSE)</f>
        <v>5651.0149999999994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-118.96599999999999</v>
      </c>
      <c r="C8" s="28">
        <v>311.27600000000001</v>
      </c>
      <c r="D8" s="28">
        <v>-7.0119999999999996</v>
      </c>
      <c r="E8" s="28">
        <v>257.46199999999999</v>
      </c>
      <c r="F8" s="28">
        <v>14.525</v>
      </c>
      <c r="G8" s="28">
        <v>-442.20400000000001</v>
      </c>
      <c r="H8" s="28">
        <v>323.27</v>
      </c>
      <c r="I8" s="28">
        <v>-242.45</v>
      </c>
      <c r="J8" s="28">
        <v>1.8280000000000001</v>
      </c>
      <c r="K8" s="28">
        <v>133.40100000000001</v>
      </c>
      <c r="L8" s="28">
        <v>-190.834</v>
      </c>
      <c r="M8" s="28">
        <v>-60.182000000000002</v>
      </c>
      <c r="N8" s="29">
        <f t="shared" si="0"/>
        <v>-19.886000000000038</v>
      </c>
      <c r="P8" s="34"/>
      <c r="Q8" s="34"/>
      <c r="R8" s="47"/>
      <c r="AS8" s="32"/>
      <c r="AT8" s="75"/>
      <c r="AU8" s="37" t="str">
        <f>A15</f>
        <v>PRODUCCION BRUTA DE REFINERIA</v>
      </c>
      <c r="AV8" s="93">
        <f>HLOOKUP(MAXA(B4:M4),$B$4:$M$15,12,FALSE)</f>
        <v>5585.023000000001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251.21300000000002</v>
      </c>
      <c r="C9" s="28">
        <v>1.2939999999999827</v>
      </c>
      <c r="D9" s="28">
        <v>-56.305</v>
      </c>
      <c r="E9" s="28">
        <v>122.38999999999999</v>
      </c>
      <c r="F9" s="28">
        <v>144.45099999999999</v>
      </c>
      <c r="G9" s="28">
        <v>-239.61200000000002</v>
      </c>
      <c r="H9" s="28">
        <v>117.428</v>
      </c>
      <c r="I9" s="28">
        <v>-114.16700000000003</v>
      </c>
      <c r="J9" s="28">
        <v>145.71</v>
      </c>
      <c r="K9" s="28">
        <v>-15.498000000000005</v>
      </c>
      <c r="L9" s="28">
        <v>37.441000000000003</v>
      </c>
      <c r="M9" s="28">
        <v>-119.8</v>
      </c>
      <c r="N9" s="29">
        <f t="shared" si="0"/>
        <v>274.5449999999999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>
        <v>23.821999999999999</v>
      </c>
      <c r="E10" s="28">
        <v>26.233000000000001</v>
      </c>
      <c r="F10" s="28">
        <v>49.732999999999997</v>
      </c>
      <c r="G10" s="28">
        <v>16.376999999999999</v>
      </c>
      <c r="H10" s="28">
        <v>123.58</v>
      </c>
      <c r="I10" s="28">
        <v>32.295000000000002</v>
      </c>
      <c r="J10" s="28">
        <v>46.997999999999998</v>
      </c>
      <c r="K10" s="28">
        <v>72.234999999999999</v>
      </c>
      <c r="L10" s="28">
        <v>26.579000000000001</v>
      </c>
      <c r="M10" s="28">
        <v>21.766999999999999</v>
      </c>
      <c r="N10" s="29">
        <f t="shared" si="0"/>
        <v>558.0150000000001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135.24399999999969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5306.3580000000011</v>
      </c>
      <c r="C12" s="24">
        <v>4766.5689999999995</v>
      </c>
      <c r="D12" s="24">
        <v>5323.6090000000004</v>
      </c>
      <c r="E12" s="24">
        <v>4674.0829999999996</v>
      </c>
      <c r="F12" s="24">
        <v>4786.6330000000007</v>
      </c>
      <c r="G12" s="24">
        <v>4921.1400000000003</v>
      </c>
      <c r="H12" s="24">
        <v>5644.1980000000003</v>
      </c>
      <c r="I12" s="24">
        <v>5498.2810000000009</v>
      </c>
      <c r="J12" s="24">
        <v>5265.3359999999993</v>
      </c>
      <c r="K12" s="24">
        <v>5569.0999999999995</v>
      </c>
      <c r="L12" s="24">
        <v>5199.1909999999998</v>
      </c>
      <c r="M12" s="24">
        <v>5651.0149999999994</v>
      </c>
      <c r="N12" s="25">
        <f>SUM(B12:M12)</f>
        <v>62605.512999999992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-60.182000000000002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5301.6440000000002</v>
      </c>
      <c r="C13" s="28">
        <v>4761.5320000000002</v>
      </c>
      <c r="D13" s="28">
        <v>5317.21</v>
      </c>
      <c r="E13" s="28">
        <v>4538.4579999999996</v>
      </c>
      <c r="F13" s="28">
        <v>4776.4009999999998</v>
      </c>
      <c r="G13" s="28">
        <v>4573.3909999999996</v>
      </c>
      <c r="H13" s="28">
        <v>5511.0739999999996</v>
      </c>
      <c r="I13" s="28">
        <v>5380.2449999999999</v>
      </c>
      <c r="J13" s="28">
        <v>5152.18</v>
      </c>
      <c r="K13" s="28">
        <v>5561.3209999999999</v>
      </c>
      <c r="L13" s="28">
        <v>5196.3100000000004</v>
      </c>
      <c r="M13" s="28">
        <v>5374.2039999999997</v>
      </c>
      <c r="N13" s="29">
        <f t="shared" si="0"/>
        <v>61443.969999999987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-119.8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157.89100000000144</v>
      </c>
      <c r="C14" s="28">
        <v>71.536999999999352</v>
      </c>
      <c r="D14" s="28">
        <v>220.40999999999985</v>
      </c>
      <c r="E14" s="28">
        <v>105.32200000000103</v>
      </c>
      <c r="F14" s="28">
        <v>58.5</v>
      </c>
      <c r="G14" s="28">
        <v>37.992000000000189</v>
      </c>
      <c r="H14" s="28">
        <v>63.582999999999629</v>
      </c>
      <c r="I14" s="46">
        <v>50.127000000000407</v>
      </c>
      <c r="J14" s="28">
        <v>32.474999999999454</v>
      </c>
      <c r="K14" s="28">
        <v>114.73599999999897</v>
      </c>
      <c r="L14" s="28">
        <v>74.089999999999236</v>
      </c>
      <c r="M14" s="28">
        <v>65.99199999999837</v>
      </c>
      <c r="N14" s="29">
        <f t="shared" si="0"/>
        <v>1052.6549999999979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21.766999999999999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5148.4669999999987</v>
      </c>
      <c r="C15" s="24">
        <f t="shared" si="1"/>
        <v>4695.0320000000002</v>
      </c>
      <c r="D15" s="24">
        <f t="shared" si="1"/>
        <v>5103.1990000000005</v>
      </c>
      <c r="E15" s="24">
        <f t="shared" si="1"/>
        <v>4568.7609999999995</v>
      </c>
      <c r="F15" s="24">
        <f t="shared" si="1"/>
        <v>4728.1330000000007</v>
      </c>
      <c r="G15" s="24">
        <f t="shared" si="1"/>
        <v>4883.1480000000001</v>
      </c>
      <c r="H15" s="24">
        <f t="shared" si="1"/>
        <v>5580.6149999999998</v>
      </c>
      <c r="I15" s="24">
        <f t="shared" si="1"/>
        <v>5448.1540000000005</v>
      </c>
      <c r="J15" s="24">
        <f t="shared" si="1"/>
        <v>5232.8609999999999</v>
      </c>
      <c r="K15" s="24">
        <f t="shared" si="1"/>
        <v>5454.3640000000005</v>
      </c>
      <c r="L15" s="24">
        <f t="shared" si="1"/>
        <v>5125.1010000000006</v>
      </c>
      <c r="M15" s="24">
        <f t="shared" si="1"/>
        <v>5585.023000000001</v>
      </c>
      <c r="N15" s="25">
        <f t="shared" si="0"/>
        <v>61552.858000000007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172.095</v>
      </c>
      <c r="C16" s="2">
        <v>187.18799999999999</v>
      </c>
      <c r="D16" s="2">
        <v>216.68299999999999</v>
      </c>
      <c r="E16" s="2">
        <v>169.70699999999999</v>
      </c>
      <c r="F16" s="2">
        <v>143.37700000000001</v>
      </c>
      <c r="G16" s="2">
        <v>162.38999999999999</v>
      </c>
      <c r="H16" s="2">
        <v>174.90899999999999</v>
      </c>
      <c r="I16" s="2">
        <v>190.39699999999999</v>
      </c>
      <c r="J16" s="2">
        <v>177.41</v>
      </c>
      <c r="K16" s="2">
        <v>193.821</v>
      </c>
      <c r="L16" s="2">
        <v>174.13200000000001</v>
      </c>
      <c r="M16" s="2">
        <v>177.39500000000001</v>
      </c>
      <c r="N16" s="4">
        <f t="shared" si="0"/>
        <v>2139.5040000000004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177.39500000000001</v>
      </c>
      <c r="AW17" s="81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>
        <v>96.242000000000004</v>
      </c>
      <c r="E18" s="2">
        <v>64.98</v>
      </c>
      <c r="F18" s="2">
        <v>88.978999999999999</v>
      </c>
      <c r="G18" s="2">
        <v>81.649000000000001</v>
      </c>
      <c r="H18" s="2">
        <v>70.718999999999994</v>
      </c>
      <c r="I18" s="2">
        <v>93.141000000000005</v>
      </c>
      <c r="J18" s="2">
        <v>88.816999999999993</v>
      </c>
      <c r="K18" s="2">
        <v>95.533000000000001</v>
      </c>
      <c r="L18" s="2">
        <v>98.486000000000004</v>
      </c>
      <c r="M18" s="2">
        <v>102.169</v>
      </c>
      <c r="N18" s="4">
        <f t="shared" si="0"/>
        <v>1078.8699999999999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>
        <v>0</v>
      </c>
      <c r="E19" s="2">
        <v>0</v>
      </c>
      <c r="F19" s="2">
        <v>39.623000000000005</v>
      </c>
      <c r="G19" s="2">
        <v>10.674999999999997</v>
      </c>
      <c r="H19" s="2">
        <v>19.631</v>
      </c>
      <c r="I19" s="2">
        <v>13.206999999999994</v>
      </c>
      <c r="J19" s="2">
        <v>0</v>
      </c>
      <c r="K19" s="2">
        <v>9.5690000000000026</v>
      </c>
      <c r="L19" s="2">
        <v>20.322999999999993</v>
      </c>
      <c r="M19" s="2">
        <v>39.63000000000001</v>
      </c>
      <c r="N19" s="4">
        <f t="shared" si="0"/>
        <v>177.26800000000003</v>
      </c>
      <c r="AU19" s="80" t="str">
        <f t="shared" si="2"/>
        <v>Butano</v>
      </c>
      <c r="AV19" s="81">
        <f>HLOOKUP(MAXA(B4:M4),$B$4:$M$49,15,FALSE)</f>
        <v>102.169</v>
      </c>
      <c r="AW19" s="81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>
        <v>132.67400000000001</v>
      </c>
      <c r="E20" s="2">
        <v>136.02799999999999</v>
      </c>
      <c r="F20" s="2">
        <v>137.44300000000001</v>
      </c>
      <c r="G20" s="2">
        <v>125.089</v>
      </c>
      <c r="H20" s="2">
        <v>143.024</v>
      </c>
      <c r="I20" s="2">
        <v>127.961</v>
      </c>
      <c r="J20" s="2">
        <v>117.518</v>
      </c>
      <c r="K20" s="2">
        <v>93.385999999999996</v>
      </c>
      <c r="L20" s="2">
        <v>90.682000000000002</v>
      </c>
      <c r="M20" s="2">
        <v>118.176</v>
      </c>
      <c r="N20" s="4">
        <f t="shared" si="0"/>
        <v>1501.35</v>
      </c>
      <c r="AU20" s="80" t="str">
        <f t="shared" si="2"/>
        <v>Propano</v>
      </c>
      <c r="AV20" s="81">
        <f>HLOOKUP(MAXA(B4:M4),$B$4:$M$49,16,FALSE)</f>
        <v>39.63000000000001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118.176</v>
      </c>
      <c r="AW21" s="81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>
        <v>80.259</v>
      </c>
      <c r="E22" s="2">
        <v>91.846000000000004</v>
      </c>
      <c r="F22" s="2">
        <v>100.376</v>
      </c>
      <c r="G22" s="2">
        <v>91.144000000000005</v>
      </c>
      <c r="H22" s="2">
        <v>86.387</v>
      </c>
      <c r="I22" s="2">
        <v>91.56</v>
      </c>
      <c r="J22" s="2">
        <v>95.596000000000004</v>
      </c>
      <c r="K22" s="2">
        <v>102.232</v>
      </c>
      <c r="L22" s="2">
        <v>86.843000000000004</v>
      </c>
      <c r="M22" s="2">
        <v>101.95399999999999</v>
      </c>
      <c r="N22" s="4">
        <f t="shared" si="0"/>
        <v>1098.3209999999999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>
        <v>7.1070000000000002</v>
      </c>
      <c r="E23" s="2">
        <v>10.738</v>
      </c>
      <c r="F23" s="2">
        <v>9.3870000000000005</v>
      </c>
      <c r="G23" s="2">
        <v>4.9489999999999998</v>
      </c>
      <c r="H23" s="2">
        <v>14.753</v>
      </c>
      <c r="I23" s="2">
        <v>14.805999999999999</v>
      </c>
      <c r="J23" s="2">
        <v>10.811</v>
      </c>
      <c r="K23" s="2">
        <v>7.9160000000000004</v>
      </c>
      <c r="L23" s="2">
        <v>2.5150000000000001</v>
      </c>
      <c r="M23" s="2">
        <v>12.023</v>
      </c>
      <c r="N23" s="4">
        <f t="shared" si="0"/>
        <v>107.64299999999999</v>
      </c>
      <c r="AU23" s="80" t="str">
        <f t="shared" si="2"/>
        <v>Gasolina 95 I.O.</v>
      </c>
      <c r="AV23" s="81">
        <f>HLOOKUP(MAXA(B4:M4),$B$4:$M$49,19,FALSE)</f>
        <v>101.95399999999999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12.023</v>
      </c>
      <c r="AW24" s="81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>
        <v>702.73799999999994</v>
      </c>
      <c r="E25" s="2">
        <v>634.71599999999989</v>
      </c>
      <c r="F25" s="2">
        <v>577.29599999999994</v>
      </c>
      <c r="G25" s="2">
        <v>602.87</v>
      </c>
      <c r="H25" s="2">
        <v>763.17600000000004</v>
      </c>
      <c r="I25" s="2">
        <v>735.15</v>
      </c>
      <c r="J25" s="2">
        <v>749.22899999999993</v>
      </c>
      <c r="K25" s="2">
        <v>801.25099999999998</v>
      </c>
      <c r="L25" s="2">
        <v>711.66700000000014</v>
      </c>
      <c r="M25" s="2">
        <v>814.35699999999997</v>
      </c>
      <c r="N25" s="4">
        <f t="shared" si="0"/>
        <v>8427.5649999999987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814.35699999999997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>
        <v>47.640999999999998</v>
      </c>
      <c r="E28" s="2">
        <v>42.44</v>
      </c>
      <c r="F28" s="2">
        <v>52.503999999999998</v>
      </c>
      <c r="G28" s="2">
        <v>41.771000000000001</v>
      </c>
      <c r="H28" s="2">
        <v>40.868000000000002</v>
      </c>
      <c r="I28" s="2">
        <v>39.442999999999998</v>
      </c>
      <c r="J28" s="2">
        <v>43.014000000000003</v>
      </c>
      <c r="K28" s="2">
        <v>41.174999999999997</v>
      </c>
      <c r="L28" s="2">
        <v>31.084</v>
      </c>
      <c r="M28" s="2">
        <v>37.429000000000002</v>
      </c>
      <c r="N28" s="4">
        <f t="shared" si="0"/>
        <v>485.91200000000003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37.429000000000002</v>
      </c>
      <c r="AW29" s="81"/>
    </row>
    <row r="30" spans="1:49" ht="12.75" customHeight="1" x14ac:dyDescent="0.2">
      <c r="A30" s="9" t="s">
        <v>28</v>
      </c>
      <c r="B30" s="3">
        <v>801.43600000000004</v>
      </c>
      <c r="C30" s="2">
        <v>678.79300000000001</v>
      </c>
      <c r="D30" s="2">
        <v>805.83</v>
      </c>
      <c r="E30" s="2">
        <v>689.60400000000004</v>
      </c>
      <c r="F30" s="2">
        <v>669.98500000000001</v>
      </c>
      <c r="G30" s="2">
        <v>710.31600000000003</v>
      </c>
      <c r="H30" s="2">
        <v>857.24800000000005</v>
      </c>
      <c r="I30" s="2">
        <v>845.74800000000005</v>
      </c>
      <c r="J30" s="2">
        <v>822.14499999999998</v>
      </c>
      <c r="K30" s="2">
        <v>869.14</v>
      </c>
      <c r="L30" s="2">
        <v>806.61599999999999</v>
      </c>
      <c r="M30" s="2">
        <v>820.97799999999995</v>
      </c>
      <c r="N30" s="4">
        <f t="shared" si="0"/>
        <v>9377.8389999999999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820.97799999999995</v>
      </c>
      <c r="AW31" s="81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>
        <v>275.00900000000001</v>
      </c>
      <c r="E32" s="2">
        <v>264.98200000000003</v>
      </c>
      <c r="F32" s="2">
        <v>261.40499999999997</v>
      </c>
      <c r="G32" s="2">
        <v>250.71600000000001</v>
      </c>
      <c r="H32" s="2">
        <v>238.75399999999999</v>
      </c>
      <c r="I32" s="2">
        <v>272.16199999999998</v>
      </c>
      <c r="J32" s="2">
        <v>273.80799999999999</v>
      </c>
      <c r="K32" s="2">
        <v>264.34500000000003</v>
      </c>
      <c r="L32" s="2">
        <v>274.858</v>
      </c>
      <c r="M32" s="2">
        <v>220.477</v>
      </c>
      <c r="N32" s="4">
        <f t="shared" si="0"/>
        <v>3080.652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>
        <v>20.041</v>
      </c>
      <c r="E33" s="2">
        <v>34.475999999999999</v>
      </c>
      <c r="F33" s="2">
        <v>13.831</v>
      </c>
      <c r="G33" s="2">
        <v>38.195999999999998</v>
      </c>
      <c r="H33" s="2">
        <v>15.571</v>
      </c>
      <c r="I33" s="2">
        <v>36.04</v>
      </c>
      <c r="J33" s="2">
        <v>26.312000000000001</v>
      </c>
      <c r="K33" s="2">
        <v>36.621000000000002</v>
      </c>
      <c r="L33" s="2">
        <v>16.934000000000001</v>
      </c>
      <c r="M33" s="2">
        <v>41.887999999999998</v>
      </c>
      <c r="N33" s="4">
        <f t="shared" si="0"/>
        <v>339.786</v>
      </c>
      <c r="AU33" s="80" t="str">
        <f t="shared" si="2"/>
        <v>Gasóleo A 10 PPM</v>
      </c>
      <c r="AV33" s="81">
        <f>HLOOKUP(MAXA(B4:M4),$B$4:$M$49,29,FALSE)</f>
        <v>220.477</v>
      </c>
      <c r="AW33" s="81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>
        <v>11.478999999999999</v>
      </c>
      <c r="E34" s="2">
        <v>8.5120000000000005</v>
      </c>
      <c r="F34" s="2">
        <v>8.3800000000000008</v>
      </c>
      <c r="G34" s="2">
        <v>6.3220000000000001</v>
      </c>
      <c r="H34" s="2">
        <v>5.9189999999999996</v>
      </c>
      <c r="I34" s="2">
        <v>5.0919999999999996</v>
      </c>
      <c r="J34" s="2">
        <v>0</v>
      </c>
      <c r="K34" s="2">
        <v>13.109</v>
      </c>
      <c r="L34" s="2">
        <v>9.6539999999999999</v>
      </c>
      <c r="M34" s="2">
        <v>16.911000000000001</v>
      </c>
      <c r="N34" s="4">
        <f t="shared" si="0"/>
        <v>107.73699999999999</v>
      </c>
      <c r="AU34" s="80" t="str">
        <f t="shared" si="2"/>
        <v>Gasóleo B</v>
      </c>
      <c r="AV34" s="81">
        <f>HLOOKUP(MAXA(B4:M4),$B$4:$M$49,30,FALSE)</f>
        <v>41.887999999999998</v>
      </c>
      <c r="AW34" s="81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>
        <v>64.162000000000006</v>
      </c>
      <c r="E35" s="2">
        <v>75.816999999999993</v>
      </c>
      <c r="F35" s="2">
        <v>79.024000000000001</v>
      </c>
      <c r="G35" s="2">
        <v>74.072000000000003</v>
      </c>
      <c r="H35" s="2">
        <v>81.67</v>
      </c>
      <c r="I35" s="2">
        <v>82.831000000000003</v>
      </c>
      <c r="J35" s="2">
        <v>89.808999999999997</v>
      </c>
      <c r="K35" s="2">
        <v>77.814999999999998</v>
      </c>
      <c r="L35" s="2">
        <v>76.653999999999996</v>
      </c>
      <c r="M35" s="2">
        <v>82.55</v>
      </c>
      <c r="N35" s="4">
        <f t="shared" si="0"/>
        <v>915.2349999999999</v>
      </c>
      <c r="AU35" s="80" t="str">
        <f t="shared" si="2"/>
        <v>Gasóleo C</v>
      </c>
      <c r="AV35" s="81">
        <f>HLOOKUP(MAXA(B4:M4),$B$4:$M$49,31,FALSE)</f>
        <v>16.911000000000001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82.55</v>
      </c>
      <c r="AW36" s="81"/>
    </row>
    <row r="37" spans="1:49" ht="16.5" customHeight="1" x14ac:dyDescent="0.2">
      <c r="A37" s="9" t="s">
        <v>35</v>
      </c>
      <c r="B37" s="3">
        <v>1625.5330000000001</v>
      </c>
      <c r="C37" s="2">
        <v>1564.296</v>
      </c>
      <c r="D37" s="2">
        <v>1698.4470000000001</v>
      </c>
      <c r="E37" s="2">
        <v>1412.4479999999999</v>
      </c>
      <c r="F37" s="2">
        <v>1561.6469999999999</v>
      </c>
      <c r="G37" s="2">
        <v>1562.0510000000002</v>
      </c>
      <c r="H37" s="2">
        <v>1949.8610000000003</v>
      </c>
      <c r="I37" s="2">
        <v>1864.027</v>
      </c>
      <c r="J37" s="2">
        <v>1741.4929999999999</v>
      </c>
      <c r="K37" s="2">
        <v>1859.5649999999998</v>
      </c>
      <c r="L37" s="2">
        <v>1721.567</v>
      </c>
      <c r="M37" s="2">
        <v>1950.3790000000001</v>
      </c>
      <c r="N37" s="4">
        <f t="shared" si="0"/>
        <v>20511.314000000002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27.832000000000001</v>
      </c>
      <c r="C38" s="2">
        <v>31.614999999999998</v>
      </c>
      <c r="D38" s="2">
        <v>33.893999999999998</v>
      </c>
      <c r="E38" s="2">
        <v>29.126000000000001</v>
      </c>
      <c r="F38" s="2">
        <v>36.539000000000001</v>
      </c>
      <c r="G38" s="2">
        <v>28.972999999999999</v>
      </c>
      <c r="H38" s="2">
        <v>26.686</v>
      </c>
      <c r="I38" s="2">
        <v>19.706</v>
      </c>
      <c r="J38" s="2">
        <v>12.891999999999999</v>
      </c>
      <c r="K38" s="2">
        <v>29.521999999999998</v>
      </c>
      <c r="L38" s="2">
        <v>33.314999999999998</v>
      </c>
      <c r="M38" s="2">
        <v>37.762</v>
      </c>
      <c r="N38" s="4">
        <f t="shared" si="0"/>
        <v>347.86200000000002</v>
      </c>
      <c r="AU38" s="80" t="str">
        <f t="shared" si="2"/>
        <v>Otros Gasóleos</v>
      </c>
      <c r="AV38" s="81">
        <f>HLOOKUP(MAXA(B4:M4),$B$4:$M$49,34,FALSE)</f>
        <v>1950.3790000000001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37.762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2.1000000000000001E-2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8.0000000000000002E-3</v>
      </c>
      <c r="E41" s="2">
        <v>3.0000000000000001E-3</v>
      </c>
      <c r="F41" s="2">
        <v>7.1999999999999995E-2</v>
      </c>
      <c r="G41" s="2">
        <v>7.6999999999999999E-2</v>
      </c>
      <c r="H41" s="2">
        <v>6.4000000000000001E-2</v>
      </c>
      <c r="I41" s="2">
        <v>7.8E-2</v>
      </c>
      <c r="J41" s="2">
        <v>0.03</v>
      </c>
      <c r="K41" s="2">
        <v>0.06</v>
      </c>
      <c r="L41" s="2">
        <v>0.10299999999999999</v>
      </c>
      <c r="M41" s="2">
        <v>9.2999999999999999E-2</v>
      </c>
      <c r="N41" s="4">
        <f t="shared" si="0"/>
        <v>0.58799999999999997</v>
      </c>
      <c r="AU41" s="80" t="str">
        <f t="shared" si="2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29.7</v>
      </c>
      <c r="M42" s="2">
        <v>0</v>
      </c>
      <c r="N42" s="4">
        <f t="shared" si="0"/>
        <v>29.7</v>
      </c>
      <c r="AU42" s="80" t="str">
        <f t="shared" si="2"/>
        <v>Fuelóleo de refineria</v>
      </c>
      <c r="AV42" s="81">
        <f>HLOOKUP(MAXA(B4:M4),$B$4:$M$49,38,FALSE)</f>
        <v>9.2999999999999999E-2</v>
      </c>
      <c r="AW42" s="81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>
        <v>220.25399999999999</v>
      </c>
      <c r="E43" s="2">
        <v>289.10199999999998</v>
      </c>
      <c r="F43" s="2">
        <v>324.642</v>
      </c>
      <c r="G43" s="2">
        <v>321.29899999999998</v>
      </c>
      <c r="H43" s="2">
        <v>363.42500000000001</v>
      </c>
      <c r="I43" s="2">
        <v>368.03800000000001</v>
      </c>
      <c r="J43" s="2">
        <v>334.88099999999997</v>
      </c>
      <c r="K43" s="2">
        <v>300.68</v>
      </c>
      <c r="L43" s="2">
        <v>224.52</v>
      </c>
      <c r="M43" s="2">
        <v>365.63099999999997</v>
      </c>
      <c r="N43" s="4">
        <f t="shared" si="0"/>
        <v>3790.4009999999998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>
        <v>23.401</v>
      </c>
      <c r="E44" s="2">
        <v>18.108000000000001</v>
      </c>
      <c r="F44" s="2">
        <v>19.988</v>
      </c>
      <c r="G44" s="2">
        <v>25.501999999999999</v>
      </c>
      <c r="H44" s="2">
        <v>27.87</v>
      </c>
      <c r="I44" s="2">
        <v>27.532</v>
      </c>
      <c r="J44" s="2">
        <v>24.254000000000001</v>
      </c>
      <c r="K44" s="2">
        <v>25.204999999999998</v>
      </c>
      <c r="L44" s="2">
        <v>24.262</v>
      </c>
      <c r="M44" s="2">
        <v>24.800999999999998</v>
      </c>
      <c r="N44" s="4">
        <f t="shared" si="0"/>
        <v>286.56900000000002</v>
      </c>
      <c r="AU44" s="80" t="str">
        <f>A43</f>
        <v>Otros Fuelóleos</v>
      </c>
      <c r="AV44" s="81">
        <f>HLOOKUP(MAXA(B4:M4),$B$4:$M$49,40,FALSE)</f>
        <v>365.63099999999997</v>
      </c>
      <c r="AW44" s="81"/>
    </row>
    <row r="45" spans="1:49" ht="16.5" customHeight="1" x14ac:dyDescent="0.2">
      <c r="A45" s="9" t="s">
        <v>42</v>
      </c>
      <c r="B45" s="3">
        <v>116.541</v>
      </c>
      <c r="C45" s="2">
        <v>119.774</v>
      </c>
      <c r="D45" s="2">
        <v>101.82599999999999</v>
      </c>
      <c r="E45" s="2">
        <v>145.04900000000001</v>
      </c>
      <c r="F45" s="2">
        <v>135.35900000000001</v>
      </c>
      <c r="G45" s="2">
        <v>192.636</v>
      </c>
      <c r="H45" s="2">
        <v>164.108</v>
      </c>
      <c r="I45" s="2">
        <v>145.88300000000001</v>
      </c>
      <c r="J45" s="2">
        <v>146.40600000000001</v>
      </c>
      <c r="K45" s="2">
        <v>129.37700000000001</v>
      </c>
      <c r="L45" s="2">
        <v>116.863</v>
      </c>
      <c r="M45" s="2">
        <v>147.65799999999999</v>
      </c>
      <c r="N45" s="4">
        <f t="shared" si="0"/>
        <v>1661.4799999999998</v>
      </c>
      <c r="AU45" s="80" t="str">
        <f t="shared" si="2"/>
        <v>Aceites y bases lubricantes</v>
      </c>
      <c r="AV45" s="81">
        <f>HLOOKUP(MAXA(B4:M4),$B$4:$M$49,41,FALSE)</f>
        <v>24.800999999999998</v>
      </c>
      <c r="AW45" s="81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>
        <v>11.792999999999999</v>
      </c>
      <c r="E46" s="2">
        <v>7.1879999999999997</v>
      </c>
      <c r="F46" s="2">
        <v>7.89</v>
      </c>
      <c r="G46" s="2">
        <v>10.404999999999999</v>
      </c>
      <c r="H46" s="2">
        <v>10.439</v>
      </c>
      <c r="I46" s="2">
        <v>10.88</v>
      </c>
      <c r="J46" s="2">
        <v>10.452999999999999</v>
      </c>
      <c r="K46" s="2">
        <v>8.6180000000000003</v>
      </c>
      <c r="L46" s="2">
        <v>10.99</v>
      </c>
      <c r="M46" s="2">
        <v>8.3819999999999997</v>
      </c>
      <c r="N46" s="4">
        <f t="shared" si="0"/>
        <v>117.032</v>
      </c>
      <c r="AU46" s="80" t="str">
        <f t="shared" si="2"/>
        <v>Productos asfálticos</v>
      </c>
      <c r="AV46" s="81">
        <f>HLOOKUP(MAXA(B4:M4),$B$4:$M$49,42,FALSE)</f>
        <v>147.65799999999999</v>
      </c>
      <c r="AW46" s="81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>
        <v>5.3330000000000002</v>
      </c>
      <c r="E47" s="2">
        <v>5.3170000000000002</v>
      </c>
      <c r="F47" s="2">
        <v>5.4550000000000001</v>
      </c>
      <c r="G47" s="2">
        <v>5.69</v>
      </c>
      <c r="H47" s="2">
        <v>6.0919999999999996</v>
      </c>
      <c r="I47" s="2">
        <v>5.407</v>
      </c>
      <c r="J47" s="2">
        <v>6.5490000000000004</v>
      </c>
      <c r="K47" s="2">
        <v>7.3940000000000001</v>
      </c>
      <c r="L47" s="2">
        <v>6.7880000000000003</v>
      </c>
      <c r="M47" s="2">
        <v>4.7439999999999998</v>
      </c>
      <c r="N47" s="4">
        <f t="shared" si="0"/>
        <v>69.989999999999995</v>
      </c>
      <c r="AU47" s="80" t="str">
        <f t="shared" si="2"/>
        <v>Disolventes</v>
      </c>
      <c r="AV47" s="81">
        <f>HLOOKUP(MAXA(B4:M4),$B$4:$M$49,43,FALSE)</f>
        <v>8.3819999999999997</v>
      </c>
      <c r="AW47" s="81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>
        <v>293.46100000000001</v>
      </c>
      <c r="E48" s="2">
        <v>244.34899999999999</v>
      </c>
      <c r="F48" s="2">
        <v>283.19799999999998</v>
      </c>
      <c r="G48" s="2">
        <v>291.35300000000001</v>
      </c>
      <c r="H48" s="2">
        <v>296.88900000000001</v>
      </c>
      <c r="I48" s="2">
        <v>290.74799999999999</v>
      </c>
      <c r="J48" s="2">
        <v>271.62099999999998</v>
      </c>
      <c r="K48" s="2">
        <v>294.06200000000001</v>
      </c>
      <c r="L48" s="2">
        <v>284.005</v>
      </c>
      <c r="M48" s="2">
        <v>295.5</v>
      </c>
      <c r="N48" s="4">
        <f t="shared" si="0"/>
        <v>3355.8310000000001</v>
      </c>
      <c r="AU48" s="80" t="str">
        <f t="shared" si="2"/>
        <v>Parafinas</v>
      </c>
      <c r="AV48" s="81">
        <f>HLOOKUP(MAXA(B4:M4),$B$4:$M$49,44,FALSE)</f>
        <v>4.7439999999999998</v>
      </c>
      <c r="AW48" s="81"/>
    </row>
    <row r="49" spans="1:49" ht="18" customHeight="1" x14ac:dyDescent="0.2">
      <c r="A49" s="10" t="s">
        <v>52</v>
      </c>
      <c r="B49" s="7">
        <v>280.41699999999946</v>
      </c>
      <c r="C49" s="5">
        <v>186.78799999999956</v>
      </c>
      <c r="D49" s="5">
        <v>254.91700000000128</v>
      </c>
      <c r="E49" s="5">
        <v>194.22499999999854</v>
      </c>
      <c r="F49" s="5">
        <v>171.73299999999927</v>
      </c>
      <c r="G49" s="5">
        <v>244.98199999999997</v>
      </c>
      <c r="H49" s="5">
        <v>222.55200000000002</v>
      </c>
      <c r="I49" s="5">
        <v>168.31699999999998</v>
      </c>
      <c r="J49" s="5">
        <v>189.81300000000002</v>
      </c>
      <c r="K49" s="5">
        <v>193.96800000000002</v>
      </c>
      <c r="L49" s="5">
        <v>272.54000000000087</v>
      </c>
      <c r="M49" s="5">
        <v>164.13600000000133</v>
      </c>
      <c r="N49" s="6">
        <f t="shared" si="0"/>
        <v>2544.3880000000004</v>
      </c>
      <c r="AU49" s="80" t="str">
        <f t="shared" si="2"/>
        <v>Coque de petróleo</v>
      </c>
      <c r="AV49" s="81">
        <f>HLOOKUP(MAXA(B4:M4),$B$4:$M$49,45,FALSE)</f>
        <v>295.5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164.13600000000133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0C1A-4E33-47CB-BABF-986E20807464}">
  <sheetPr>
    <pageSetUpPr fitToPage="1"/>
  </sheetPr>
  <dimension ref="A1:BI250"/>
  <sheetViews>
    <sheetView showGridLines="0" topLeftCell="A15" zoomScale="85" zoomScaleNormal="85" workbookViewId="0">
      <selection activeCell="N29" sqref="N2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Q1" s="53" t="str">
        <f>"MOVIMIENTO DE CRUDOS Y OBTENCIÓN DE PRODUCTOS PETROLÍFEROS - " &amp;AV3</f>
        <v>MOVIMIENTO DE CRUDOS Y OBTENCIÓN DE PRODUCTOS PETROLÍFEROS - ENERO 2026</v>
      </c>
      <c r="AE1" s="53" t="s">
        <v>66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ENERO 2026</v>
      </c>
    </row>
    <row r="4" spans="1:61" s="16" customFormat="1" ht="21" customHeight="1" x14ac:dyDescent="0.2">
      <c r="A4" s="11" t="s">
        <v>13</v>
      </c>
      <c r="B4" s="12">
        <v>46023</v>
      </c>
      <c r="C4" s="13"/>
      <c r="D4" s="13"/>
      <c r="E4" s="13"/>
      <c r="F4" s="13"/>
      <c r="G4" s="13"/>
      <c r="H4" s="13"/>
      <c r="I4" s="14"/>
      <c r="J4" s="14"/>
      <c r="K4" s="14"/>
      <c r="L4" s="13"/>
      <c r="M4" s="13"/>
      <c r="N4" s="15" t="s">
        <v>65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0.154</v>
      </c>
      <c r="C5" s="19"/>
      <c r="D5" s="19"/>
      <c r="E5" s="19"/>
      <c r="F5" s="19"/>
      <c r="G5" s="19"/>
      <c r="H5" s="19"/>
      <c r="I5" s="45"/>
      <c r="J5" s="19"/>
      <c r="K5" s="19"/>
      <c r="L5" s="19"/>
      <c r="M5" s="19"/>
      <c r="N5" s="20">
        <f>SUM(B5:M5)</f>
        <v>0.154</v>
      </c>
      <c r="P5" s="34"/>
      <c r="Q5" s="34"/>
      <c r="R5" s="47"/>
      <c r="AS5" s="32"/>
      <c r="AT5" s="75"/>
      <c r="AU5" s="75"/>
      <c r="AV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5061.4049999999997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>
        <f>SUM(B6:M6)</f>
        <v>5061.4049999999997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5061.4049999999997</v>
      </c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144.42100000000028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>
        <f t="shared" ref="N7:N49" si="0">SUM(B7:M7)</f>
        <v>144.42100000000028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4992.1550000000007</v>
      </c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255.80799999999999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>
        <f t="shared" si="0"/>
        <v>255.80799999999999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4969.24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73.934000000000026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>
        <f t="shared" si="0"/>
        <v>73.934000000000026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115.917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>
        <f t="shared" si="0"/>
        <v>115.917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144.42100000000028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4992.1550000000007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>
        <f>SUM(B12:M12)</f>
        <v>4992.1550000000007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255.80799999999999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4805.7510000000002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>
        <f t="shared" si="0"/>
        <v>4805.7510000000002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73.934000000000026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22.915000000000873</v>
      </c>
      <c r="C14" s="28"/>
      <c r="D14" s="28"/>
      <c r="E14" s="28"/>
      <c r="F14" s="28"/>
      <c r="G14" s="28"/>
      <c r="H14" s="28"/>
      <c r="I14" s="46"/>
      <c r="J14" s="28"/>
      <c r="K14" s="28"/>
      <c r="L14" s="28"/>
      <c r="M14" s="28"/>
      <c r="N14" s="29">
        <f t="shared" si="0"/>
        <v>22.915000000000873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115.917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>SUM(B16:B49)</f>
        <v>4969.24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0"/>
        <v>4969.24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158.989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>
        <f t="shared" si="0"/>
        <v>158.989</v>
      </c>
    </row>
    <row r="17" spans="1:49" ht="16.5" customHeight="1" x14ac:dyDescent="0.2">
      <c r="A17" s="9" t="s">
        <v>15</v>
      </c>
      <c r="B17" s="3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158.989</v>
      </c>
      <c r="AW17" s="81"/>
    </row>
    <row r="18" spans="1:49" ht="16.5" customHeight="1" x14ac:dyDescent="0.2">
      <c r="A18" s="9" t="s">
        <v>16</v>
      </c>
      <c r="B18" s="3">
        <v>94.637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>
        <f t="shared" si="0"/>
        <v>94.637</v>
      </c>
      <c r="AU18" s="80" t="str">
        <f t="shared" ref="AU18:AU50" si="1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26.518000000000001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>
        <f t="shared" si="0"/>
        <v>26.518000000000001</v>
      </c>
      <c r="AU19" s="80" t="str">
        <f t="shared" si="1"/>
        <v>Butano</v>
      </c>
      <c r="AV19" s="81">
        <f>HLOOKUP(MAXA(B4:M4),$B$4:$M$49,15,FALSE)</f>
        <v>94.637</v>
      </c>
      <c r="AW19" s="81"/>
    </row>
    <row r="20" spans="1:49" ht="16.5" customHeight="1" x14ac:dyDescent="0.2">
      <c r="A20" s="9" t="s">
        <v>18</v>
      </c>
      <c r="B20" s="3">
        <v>107.73099999999999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>
        <f t="shared" si="0"/>
        <v>107.73099999999999</v>
      </c>
      <c r="AU20" s="80" t="str">
        <f t="shared" si="1"/>
        <v>Propano</v>
      </c>
      <c r="AV20" s="81">
        <f>HLOOKUP(MAXA(B4:M4),$B$4:$M$49,16,FALSE)</f>
        <v>26.518000000000001</v>
      </c>
      <c r="AW20" s="81"/>
    </row>
    <row r="21" spans="1:49" ht="16.5" customHeight="1" x14ac:dyDescent="0.2">
      <c r="A21" s="9" t="s">
        <v>19</v>
      </c>
      <c r="B21" s="3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>
        <f t="shared" si="0"/>
        <v>0</v>
      </c>
      <c r="AU21" s="80" t="str">
        <f t="shared" si="1"/>
        <v>Nafta</v>
      </c>
      <c r="AV21" s="81">
        <f>HLOOKUP(MAXA(B4:M4),$B$4:$M$49,17,FALSE)</f>
        <v>107.73099999999999</v>
      </c>
      <c r="AW21" s="81"/>
    </row>
    <row r="22" spans="1:49" ht="16.5" customHeight="1" x14ac:dyDescent="0.2">
      <c r="A22" s="9" t="s">
        <v>20</v>
      </c>
      <c r="B22" s="3">
        <v>100.416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>
        <f t="shared" si="0"/>
        <v>100.416</v>
      </c>
      <c r="AU22" s="80" t="str">
        <f t="shared" si="1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1.008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>
        <f t="shared" si="0"/>
        <v>1.008</v>
      </c>
      <c r="AU23" s="80" t="str">
        <f t="shared" si="1"/>
        <v>Gasolina 95 I.O.</v>
      </c>
      <c r="AV23" s="81">
        <f>HLOOKUP(MAXA(B4:M4),$B$4:$M$49,19,FALSE)</f>
        <v>100.416</v>
      </c>
      <c r="AW23" s="81"/>
    </row>
    <row r="24" spans="1:49" ht="16.5" customHeight="1" x14ac:dyDescent="0.2">
      <c r="A24" s="9" t="s">
        <v>22</v>
      </c>
      <c r="B24" s="3"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>
        <f t="shared" si="0"/>
        <v>0</v>
      </c>
      <c r="AU24" s="80" t="str">
        <f t="shared" si="1"/>
        <v>Gasolina 98 I.O.</v>
      </c>
      <c r="AV24" s="81">
        <f>HLOOKUP(MAXA(B4:M4),$B$4:$M$49,20,FALSE)</f>
        <v>1.008</v>
      </c>
      <c r="AW24" s="81"/>
    </row>
    <row r="25" spans="1:49" ht="16.5" customHeight="1" x14ac:dyDescent="0.2">
      <c r="A25" s="9" t="s">
        <v>23</v>
      </c>
      <c r="B25" s="3">
        <v>760.81400000000008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>
        <f t="shared" si="0"/>
        <v>760.81400000000008</v>
      </c>
      <c r="AU25" s="80" t="str">
        <f t="shared" si="1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>
        <f t="shared" si="0"/>
        <v>0</v>
      </c>
      <c r="AU26" s="80" t="str">
        <f t="shared" si="1"/>
        <v>Otras Gasolinas</v>
      </c>
      <c r="AV26" s="81">
        <f>HLOOKUP(MAXA(B4:M4),$B$4:$M$49,22,FALSE)</f>
        <v>760.81400000000008</v>
      </c>
      <c r="AW26" s="81"/>
    </row>
    <row r="27" spans="1:49" ht="16.5" customHeight="1" x14ac:dyDescent="0.2">
      <c r="A27" s="9" t="s">
        <v>25</v>
      </c>
      <c r="B27" s="3"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>
        <f t="shared" si="0"/>
        <v>0</v>
      </c>
      <c r="AU27" s="80" t="str">
        <f t="shared" si="1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41.451999999999998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>
        <f t="shared" si="0"/>
        <v>41.451999999999998</v>
      </c>
      <c r="AU28" s="80" t="str">
        <f t="shared" si="1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41.451999999999998</v>
      </c>
      <c r="AW29" s="81"/>
    </row>
    <row r="30" spans="1:49" ht="12.75" customHeight="1" x14ac:dyDescent="0.2">
      <c r="A30" s="9" t="s">
        <v>28</v>
      </c>
      <c r="B30" s="3">
        <v>777.52800000000002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>
        <f t="shared" si="0"/>
        <v>777.52800000000002</v>
      </c>
      <c r="AU30" s="80" t="str">
        <f t="shared" si="1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>
        <f t="shared" si="0"/>
        <v>0</v>
      </c>
      <c r="AU31" s="80" t="str">
        <f t="shared" si="1"/>
        <v>Otros Querosenos</v>
      </c>
      <c r="AV31" s="81">
        <f>HLOOKUP(MAXA(B4:M4),$B$4:$M$49,27,FALSE)</f>
        <v>777.52800000000002</v>
      </c>
      <c r="AW31" s="81"/>
    </row>
    <row r="32" spans="1:49" ht="16.5" customHeight="1" x14ac:dyDescent="0.2">
      <c r="A32" s="9" t="s">
        <v>30</v>
      </c>
      <c r="B32" s="3">
        <v>159.40600000000001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>
        <f t="shared" si="0"/>
        <v>159.40600000000001</v>
      </c>
      <c r="AU32" s="80" t="str">
        <f t="shared" si="1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23.766999999999999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>
        <f t="shared" si="0"/>
        <v>23.766999999999999</v>
      </c>
      <c r="AU33" s="80" t="str">
        <f t="shared" si="1"/>
        <v>Gasóleo A 10 PPM</v>
      </c>
      <c r="AV33" s="81">
        <f>HLOOKUP(MAXA(B4:M4),$B$4:$M$49,29,FALSE)</f>
        <v>159.40600000000001</v>
      </c>
      <c r="AW33" s="81"/>
    </row>
    <row r="34" spans="1:49" ht="16.5" customHeight="1" x14ac:dyDescent="0.2">
      <c r="A34" s="9" t="s">
        <v>32</v>
      </c>
      <c r="B34" s="3">
        <v>17.497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>
        <f t="shared" si="0"/>
        <v>17.497</v>
      </c>
      <c r="AU34" s="80" t="str">
        <f t="shared" si="1"/>
        <v>Gasóleo B</v>
      </c>
      <c r="AV34" s="81">
        <f>HLOOKUP(MAXA(B4:M4),$B$4:$M$49,30,FALSE)</f>
        <v>23.766999999999999</v>
      </c>
      <c r="AW34" s="81"/>
    </row>
    <row r="35" spans="1:49" ht="16.5" customHeight="1" x14ac:dyDescent="0.2">
      <c r="A35" s="9" t="s">
        <v>33</v>
      </c>
      <c r="B35" s="3">
        <v>75.739000000000004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>
        <f t="shared" si="0"/>
        <v>75.739000000000004</v>
      </c>
      <c r="AU35" s="80" t="str">
        <f t="shared" si="1"/>
        <v>Gasóleo C</v>
      </c>
      <c r="AV35" s="81">
        <f>HLOOKUP(MAXA(B4:M4),$B$4:$M$49,31,FALSE)</f>
        <v>17.497</v>
      </c>
      <c r="AW35" s="81"/>
    </row>
    <row r="36" spans="1:49" ht="16.5" customHeight="1" x14ac:dyDescent="0.2">
      <c r="A36" s="9" t="s">
        <v>34</v>
      </c>
      <c r="B36" s="3"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>
        <f t="shared" si="0"/>
        <v>0</v>
      </c>
      <c r="AU36" s="80" t="str">
        <f t="shared" si="1"/>
        <v>Gasóleo para uso marítimo</v>
      </c>
      <c r="AV36" s="81">
        <f>HLOOKUP(MAXA(B4:M4),$B$4:$M$49,32,FALSE)</f>
        <v>75.739000000000004</v>
      </c>
      <c r="AW36" s="81"/>
    </row>
    <row r="37" spans="1:49" ht="16.5" customHeight="1" x14ac:dyDescent="0.2">
      <c r="A37" s="9" t="s">
        <v>35</v>
      </c>
      <c r="B37" s="3">
        <v>1694.88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>
        <f t="shared" si="0"/>
        <v>1694.88</v>
      </c>
      <c r="AU37" s="80" t="str">
        <f t="shared" si="1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28.835000000000001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>
        <f t="shared" si="0"/>
        <v>28.835000000000001</v>
      </c>
      <c r="AU38" s="80" t="str">
        <f t="shared" si="1"/>
        <v>Otros Gasóleos</v>
      </c>
      <c r="AV38" s="81">
        <f>HLOOKUP(MAXA(B4:M4),$B$4:$M$49,34,FALSE)</f>
        <v>1694.88</v>
      </c>
      <c r="AW38" s="81"/>
    </row>
    <row r="39" spans="1:49" ht="16.5" customHeight="1" x14ac:dyDescent="0.2">
      <c r="A39" s="9" t="s">
        <v>37</v>
      </c>
      <c r="B39" s="3"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>
        <f t="shared" si="0"/>
        <v>0</v>
      </c>
      <c r="AU39" s="80" t="str">
        <f t="shared" si="1"/>
        <v>Biodiesel</v>
      </c>
      <c r="AV39" s="81">
        <f>HLOOKUP(MAXA(B4:M4),$B$4:$M$49,35,FALSE)</f>
        <v>28.835000000000001</v>
      </c>
      <c r="AW39" s="81"/>
    </row>
    <row r="40" spans="1:49" ht="16.5" customHeight="1" x14ac:dyDescent="0.2">
      <c r="A40" s="9" t="s">
        <v>38</v>
      </c>
      <c r="B40" s="3"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>
        <f t="shared" si="0"/>
        <v>0</v>
      </c>
      <c r="AU40" s="80" t="str">
        <f t="shared" si="1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7.6999999999999999E-2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>
        <f t="shared" si="0"/>
        <v>7.6999999999999999E-2</v>
      </c>
      <c r="AU41" s="80" t="str">
        <f t="shared" si="1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">
        <f t="shared" si="0"/>
        <v>0</v>
      </c>
      <c r="AU42" s="80" t="str">
        <f t="shared" si="1"/>
        <v>Fuelóleo de refineria</v>
      </c>
      <c r="AV42" s="81">
        <f>HLOOKUP(MAXA(B4:M4),$B$4:$M$49,38,FALSE)</f>
        <v>7.6999999999999999E-2</v>
      </c>
      <c r="AW42" s="81"/>
    </row>
    <row r="43" spans="1:49" ht="16.5" customHeight="1" x14ac:dyDescent="0.2">
      <c r="A43" s="9" t="s">
        <v>40</v>
      </c>
      <c r="B43" s="3">
        <v>339.95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>
        <f t="shared" si="0"/>
        <v>339.95</v>
      </c>
      <c r="AU43" s="80" t="str">
        <f t="shared" si="1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19.731000000000002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>
        <f t="shared" si="0"/>
        <v>19.731000000000002</v>
      </c>
      <c r="AU44" s="80" t="str">
        <f>A43</f>
        <v>Otros Fuelóleos</v>
      </c>
      <c r="AV44" s="81">
        <f>HLOOKUP(MAXA(B4:M4),$B$4:$M$49,40,FALSE)</f>
        <v>339.95</v>
      </c>
      <c r="AW44" s="81"/>
    </row>
    <row r="45" spans="1:49" ht="16.5" customHeight="1" x14ac:dyDescent="0.2">
      <c r="A45" s="9" t="s">
        <v>42</v>
      </c>
      <c r="B45" s="3">
        <v>119.93300000000001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">
        <f t="shared" si="0"/>
        <v>119.93300000000001</v>
      </c>
      <c r="AU45" s="80" t="str">
        <f t="shared" si="1"/>
        <v>Aceites y bases lubricantes</v>
      </c>
      <c r="AV45" s="81">
        <f>HLOOKUP(MAXA(B4:M4),$B$4:$M$49,41,FALSE)</f>
        <v>19.731000000000002</v>
      </c>
      <c r="AW45" s="81"/>
    </row>
    <row r="46" spans="1:49" ht="16.5" customHeight="1" x14ac:dyDescent="0.2">
      <c r="A46" s="9" t="s">
        <v>43</v>
      </c>
      <c r="B46" s="3">
        <v>7.4349999999999996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>
        <f t="shared" si="0"/>
        <v>7.4349999999999996</v>
      </c>
      <c r="AU46" s="80" t="str">
        <f t="shared" si="1"/>
        <v>Productos asfálticos</v>
      </c>
      <c r="AV46" s="81">
        <f>HLOOKUP(MAXA(B4:M4),$B$4:$M$49,42,FALSE)</f>
        <v>119.93300000000001</v>
      </c>
      <c r="AW46" s="81"/>
    </row>
    <row r="47" spans="1:49" ht="16.5" customHeight="1" x14ac:dyDescent="0.2">
      <c r="A47" s="9" t="s">
        <v>44</v>
      </c>
      <c r="B47" s="3">
        <v>6.1219999999999999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">
        <f t="shared" si="0"/>
        <v>6.1219999999999999</v>
      </c>
      <c r="AU47" s="80" t="str">
        <f t="shared" si="1"/>
        <v>Disolventes</v>
      </c>
      <c r="AV47" s="81">
        <f>HLOOKUP(MAXA(B4:M4),$B$4:$M$49,43,FALSE)</f>
        <v>7.4349999999999996</v>
      </c>
      <c r="AW47" s="81"/>
    </row>
    <row r="48" spans="1:49" ht="16.5" customHeight="1" x14ac:dyDescent="0.2">
      <c r="A48" s="9" t="s">
        <v>45</v>
      </c>
      <c r="B48" s="3">
        <v>261.02199999999999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">
        <f t="shared" si="0"/>
        <v>261.02199999999999</v>
      </c>
      <c r="AU48" s="80" t="str">
        <f t="shared" si="1"/>
        <v>Parafinas</v>
      </c>
      <c r="AV48" s="81">
        <f>HLOOKUP(MAXA(B4:M4),$B$4:$M$49,44,FALSE)</f>
        <v>6.1219999999999999</v>
      </c>
      <c r="AW48" s="81"/>
    </row>
    <row r="49" spans="1:49" ht="18" customHeight="1" x14ac:dyDescent="0.2">
      <c r="A49" s="10" t="s">
        <v>52</v>
      </c>
      <c r="B49" s="7">
        <v>145.75299999999999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6">
        <f t="shared" si="0"/>
        <v>145.75299999999999</v>
      </c>
      <c r="AU49" s="80" t="str">
        <f t="shared" si="1"/>
        <v>Coque de petróleo</v>
      </c>
      <c r="AV49" s="81">
        <f>HLOOKUP(MAXA(B4:M4),$B$4:$M$49,45,FALSE)</f>
        <v>261.02199999999999</v>
      </c>
      <c r="AW49" s="81"/>
    </row>
    <row r="50" spans="1:49" x14ac:dyDescent="0.2">
      <c r="F50" s="41"/>
      <c r="AU50" s="80" t="str">
        <f t="shared" si="1"/>
        <v>Otros Productos</v>
      </c>
      <c r="AV50" s="81">
        <f>HLOOKUP(MAXA(B4:M4),$B$4:$M$49,46,FALSE)</f>
        <v>145.75299999999999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W47"/>
  <sheetViews>
    <sheetView showGridLines="0" topLeftCell="C1" zoomScale="70" zoomScaleNormal="70" workbookViewId="0">
      <selection activeCell="N21" sqref="N21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5" width="11" style="59"/>
    <col min="46" max="46" width="9.375" style="59" customWidth="1"/>
    <col min="47" max="48" width="11" style="59"/>
    <col min="49" max="49" width="11" style="90"/>
    <col min="50" max="16384" width="11" style="59"/>
  </cols>
  <sheetData>
    <row r="1" spans="1:16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  <c r="N1" s="58">
        <v>2025</v>
      </c>
      <c r="O1" s="91"/>
    </row>
    <row r="2" spans="1:16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f>'2024'!N5</f>
        <v>0.59899999999999998</v>
      </c>
      <c r="N2" s="64">
        <v>1.2979999999999998</v>
      </c>
      <c r="O2" s="92"/>
      <c r="P2" s="69"/>
    </row>
    <row r="3" spans="1:16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f>'2024'!N6</f>
        <v>64587.901999999995</v>
      </c>
      <c r="N3" s="64">
        <v>61422.786000000007</v>
      </c>
      <c r="O3" s="92"/>
      <c r="P3" s="69"/>
    </row>
    <row r="4" spans="1:16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f>'2024'!N7</f>
        <v>111.55199999999968</v>
      </c>
      <c r="N4" s="64">
        <v>878.07300000000123</v>
      </c>
      <c r="O4" s="92"/>
      <c r="P4" s="69"/>
    </row>
    <row r="5" spans="1:16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f>'2024'!N8</f>
        <v>252.315</v>
      </c>
      <c r="N5" s="64">
        <v>-19.886000000000038</v>
      </c>
      <c r="O5" s="92"/>
      <c r="P5" s="69"/>
    </row>
    <row r="6" spans="1:16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f>'2024'!N9</f>
        <v>-28.793000000000035</v>
      </c>
      <c r="N6" s="64">
        <v>274.5449999999999</v>
      </c>
      <c r="O6" s="92"/>
      <c r="P6" s="69"/>
    </row>
    <row r="7" spans="1:16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f>'2024'!N10</f>
        <v>537.47199999999998</v>
      </c>
      <c r="N7" s="64">
        <v>558.0150000000001</v>
      </c>
      <c r="O7" s="92"/>
      <c r="P7" s="69"/>
    </row>
    <row r="8" spans="1:16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f>'2024'!N11</f>
        <v>0</v>
      </c>
      <c r="N8" s="64">
        <v>0</v>
      </c>
      <c r="O8" s="92"/>
      <c r="P8" s="69"/>
    </row>
    <row r="9" spans="1:16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f>'2024'!N12</f>
        <v>65014.002999999997</v>
      </c>
      <c r="N9" s="64">
        <v>62605.512999999992</v>
      </c>
      <c r="O9" s="92"/>
      <c r="P9" s="69"/>
    </row>
    <row r="10" spans="1:16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f>'2024'!N13</f>
        <v>64336.185999999994</v>
      </c>
      <c r="N10" s="64">
        <v>61443.969999999987</v>
      </c>
      <c r="O10" s="92"/>
      <c r="P10" s="69"/>
    </row>
    <row r="11" spans="1:16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f>'2024'!N14</f>
        <v>1608.0269999999955</v>
      </c>
      <c r="N11" s="64">
        <v>1052.6549999999979</v>
      </c>
      <c r="O11" s="92"/>
      <c r="P11" s="70"/>
    </row>
    <row r="12" spans="1:16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f>'2024'!N15</f>
        <v>63405.976000000002</v>
      </c>
      <c r="N12" s="64">
        <v>61552.858000000007</v>
      </c>
      <c r="O12" s="92"/>
      <c r="P12" s="69"/>
    </row>
    <row r="13" spans="1:16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f>'2024'!N16</f>
        <v>2051.183</v>
      </c>
      <c r="N13" s="64">
        <v>2139.5040000000004</v>
      </c>
      <c r="O13" s="92"/>
      <c r="P13" s="69"/>
    </row>
    <row r="14" spans="1:16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f>'2024'!N17</f>
        <v>0</v>
      </c>
      <c r="N14" s="64">
        <v>0</v>
      </c>
      <c r="O14" s="92"/>
      <c r="P14" s="69"/>
    </row>
    <row r="15" spans="1:16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f>'2024'!N18</f>
        <v>1114.037</v>
      </c>
      <c r="N15" s="64">
        <v>1078.8699999999999</v>
      </c>
      <c r="O15" s="92"/>
      <c r="P15" s="69"/>
    </row>
    <row r="16" spans="1:16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f>'2024'!N19</f>
        <v>138.755</v>
      </c>
      <c r="N16" s="64">
        <v>177.26800000000003</v>
      </c>
      <c r="O16" s="92"/>
      <c r="P16" s="69"/>
    </row>
    <row r="17" spans="1:16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f>'2024'!N20</f>
        <v>1729.239</v>
      </c>
      <c r="N17" s="64">
        <v>1501.35</v>
      </c>
      <c r="O17" s="92"/>
      <c r="P17" s="69"/>
    </row>
    <row r="18" spans="1:16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f>'2024'!N21</f>
        <v>0</v>
      </c>
      <c r="N18" s="64">
        <v>0</v>
      </c>
      <c r="O18" s="92"/>
      <c r="P18" s="69"/>
    </row>
    <row r="19" spans="1:16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f>'2024'!N22</f>
        <v>1138.0340000000001</v>
      </c>
      <c r="N19" s="64">
        <v>1098.3209999999999</v>
      </c>
      <c r="O19" s="92"/>
      <c r="P19" s="69"/>
    </row>
    <row r="20" spans="1:16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f>'2024'!N23</f>
        <v>95.51900000000002</v>
      </c>
      <c r="N20" s="64">
        <v>107.64299999999999</v>
      </c>
      <c r="O20" s="92"/>
      <c r="P20" s="69"/>
    </row>
    <row r="21" spans="1:16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f>'2024'!N24</f>
        <v>0</v>
      </c>
      <c r="N21" s="64">
        <v>0</v>
      </c>
      <c r="O21" s="92"/>
      <c r="P21" s="69"/>
    </row>
    <row r="22" spans="1:16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f>'2024'!N25</f>
        <v>8527.4339999999993</v>
      </c>
      <c r="N22" s="64">
        <v>8427.5649999999987</v>
      </c>
      <c r="O22" s="92"/>
      <c r="P22" s="69"/>
    </row>
    <row r="23" spans="1:16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f>'2024'!N26</f>
        <v>0</v>
      </c>
      <c r="N23" s="64">
        <v>0</v>
      </c>
      <c r="O23" s="92"/>
      <c r="P23" s="69"/>
    </row>
    <row r="24" spans="1:16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f>'2024'!N27</f>
        <v>0</v>
      </c>
      <c r="N24" s="64">
        <v>0</v>
      </c>
      <c r="O24" s="92"/>
      <c r="P24" s="69"/>
    </row>
    <row r="25" spans="1:16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f>'2024'!N28</f>
        <v>535.59599999999989</v>
      </c>
      <c r="N25" s="64">
        <v>485.91200000000003</v>
      </c>
      <c r="O25" s="92"/>
      <c r="P25" s="69"/>
    </row>
    <row r="26" spans="1:16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f>'2024'!N29</f>
        <v>0</v>
      </c>
      <c r="N26" s="64">
        <v>0</v>
      </c>
      <c r="O26" s="92"/>
      <c r="P26" s="69"/>
    </row>
    <row r="27" spans="1:16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f>'2024'!N30</f>
        <v>9841.1860000000015</v>
      </c>
      <c r="N27" s="64">
        <v>9377.8389999999999</v>
      </c>
      <c r="O27" s="92"/>
      <c r="P27" s="69"/>
    </row>
    <row r="28" spans="1:16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f>'2024'!N31</f>
        <v>0</v>
      </c>
      <c r="N28" s="64">
        <v>0</v>
      </c>
      <c r="O28" s="92"/>
      <c r="P28" s="69"/>
    </row>
    <row r="29" spans="1:16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f>'2024'!N32</f>
        <v>2943.8580000000002</v>
      </c>
      <c r="N29" s="64">
        <v>3080.652</v>
      </c>
      <c r="O29" s="92"/>
      <c r="P29" s="70"/>
    </row>
    <row r="30" spans="1:16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f>'2024'!N33</f>
        <v>365.98799999999989</v>
      </c>
      <c r="N30" s="64">
        <v>339.786</v>
      </c>
      <c r="O30" s="92"/>
      <c r="P30" s="69"/>
    </row>
    <row r="31" spans="1:16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f>'2024'!N34</f>
        <v>111.916</v>
      </c>
      <c r="N31" s="64">
        <v>107.73699999999999</v>
      </c>
      <c r="O31" s="92"/>
      <c r="P31" s="69"/>
    </row>
    <row r="32" spans="1:16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f>'2024'!N35</f>
        <v>661.39700000000005</v>
      </c>
      <c r="N32" s="64">
        <v>915.2349999999999</v>
      </c>
      <c r="O32" s="92"/>
      <c r="P32" s="69"/>
    </row>
    <row r="33" spans="1:16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f>'2024'!N36</f>
        <v>0</v>
      </c>
      <c r="N33" s="64">
        <v>0</v>
      </c>
      <c r="O33" s="92"/>
      <c r="P33" s="69"/>
    </row>
    <row r="34" spans="1:16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f>'2024'!N37</f>
        <v>21056.342000000001</v>
      </c>
      <c r="N34" s="64">
        <v>20511.314000000002</v>
      </c>
      <c r="O34" s="92"/>
      <c r="P34" s="70"/>
    </row>
    <row r="35" spans="1:16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f>'2024'!N38</f>
        <v>320.53299999999996</v>
      </c>
      <c r="N35" s="64">
        <v>347.86200000000002</v>
      </c>
      <c r="O35" s="92"/>
      <c r="P35" s="70"/>
    </row>
    <row r="36" spans="1:16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f>'2024'!N39</f>
        <v>0</v>
      </c>
      <c r="N36" s="64">
        <v>0</v>
      </c>
      <c r="O36" s="92"/>
      <c r="P36" s="69"/>
    </row>
    <row r="37" spans="1:16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f>'2024'!N40</f>
        <v>2E-3</v>
      </c>
      <c r="N37" s="64">
        <v>2.1000000000000001E-2</v>
      </c>
      <c r="O37" s="92"/>
      <c r="P37" s="69"/>
    </row>
    <row r="38" spans="1:16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f>'2024'!N41</f>
        <v>5.8289999999999997</v>
      </c>
      <c r="N38" s="64">
        <v>0.58799999999999997</v>
      </c>
      <c r="O38" s="92"/>
      <c r="P38" s="69"/>
    </row>
    <row r="39" spans="1:16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f>'2024'!N42</f>
        <v>0</v>
      </c>
      <c r="N39" s="64">
        <v>29.7</v>
      </c>
      <c r="O39" s="92"/>
      <c r="P39" s="69"/>
    </row>
    <row r="40" spans="1:16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f>'2024'!N43</f>
        <v>4651.2349999999988</v>
      </c>
      <c r="N40" s="64">
        <v>3790.4009999999998</v>
      </c>
      <c r="O40" s="92"/>
      <c r="P40" s="70"/>
    </row>
    <row r="41" spans="1:16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f>'2024'!N44</f>
        <v>280.16399999999999</v>
      </c>
      <c r="N41" s="64">
        <v>286.56900000000002</v>
      </c>
      <c r="O41" s="92"/>
      <c r="P41" s="69"/>
    </row>
    <row r="42" spans="1:16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f>'2024'!N45</f>
        <v>1869.1480000000001</v>
      </c>
      <c r="N42" s="64">
        <v>1661.4799999999998</v>
      </c>
      <c r="O42" s="92"/>
      <c r="P42" s="69"/>
    </row>
    <row r="43" spans="1:16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f>'2024'!N46</f>
        <v>111.245</v>
      </c>
      <c r="N43" s="64">
        <v>117.032</v>
      </c>
      <c r="O43" s="92"/>
      <c r="P43" s="69"/>
    </row>
    <row r="44" spans="1:16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f>'2024'!N47</f>
        <v>69.851000000000013</v>
      </c>
      <c r="N44" s="64">
        <v>69.989999999999995</v>
      </c>
      <c r="O44" s="92"/>
      <c r="P44" s="69"/>
    </row>
    <row r="45" spans="1:16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f>'2024'!N48</f>
        <v>3505.3779999999997</v>
      </c>
      <c r="N45" s="64">
        <v>3355.8310000000001</v>
      </c>
      <c r="O45" s="92"/>
      <c r="P45" s="69"/>
    </row>
    <row r="46" spans="1:16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f>'2024'!N49</f>
        <v>2282.1070000000004</v>
      </c>
      <c r="N46" s="64">
        <v>2544.3880000000004</v>
      </c>
      <c r="O46" s="92"/>
      <c r="P46" s="70"/>
    </row>
    <row r="47" spans="1:16" x14ac:dyDescent="0.2">
      <c r="M47" s="69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G2:AF44"/>
  <sheetViews>
    <sheetView showGridLines="0" zoomScale="55" zoomScaleNormal="55" workbookViewId="0">
      <selection sqref="A1:R45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"&amp;'2025'!$AV$3</f>
        <v>MOVIMIENTO DE CRUDOS Y OBTENCIÓN DE PRODUCTOS PETROLÍFEROS - DICIEMBRE 2025</v>
      </c>
    </row>
    <row r="11" spans="7:32" ht="15" x14ac:dyDescent="0.2">
      <c r="W11" s="54"/>
      <c r="X11" s="54"/>
      <c r="Y11" s="54"/>
      <c r="Z11" s="54"/>
      <c r="AA11" s="54"/>
      <c r="AB11" s="54"/>
      <c r="AC11" s="54"/>
      <c r="AD11" s="54"/>
      <c r="AE11" s="54"/>
      <c r="AF11" s="16"/>
    </row>
    <row r="12" spans="7:32" x14ac:dyDescent="0.2">
      <c r="W12" s="34"/>
      <c r="X12" s="47"/>
      <c r="Y12" s="21"/>
      <c r="Z12" s="21"/>
      <c r="AA12" s="21"/>
      <c r="AB12" s="21"/>
      <c r="AC12" s="21"/>
      <c r="AD12" s="21"/>
      <c r="AE12" s="21"/>
      <c r="AF12" s="21"/>
    </row>
    <row r="13" spans="7:32" x14ac:dyDescent="0.2">
      <c r="W13" s="34"/>
      <c r="X13" s="47"/>
      <c r="Y13" s="21"/>
      <c r="Z13" s="21"/>
      <c r="AA13" s="21"/>
      <c r="AB13" s="21"/>
      <c r="AC13" s="21"/>
      <c r="AD13" s="21"/>
      <c r="AE13" s="21"/>
      <c r="AF13" s="21"/>
    </row>
    <row r="14" spans="7:32" x14ac:dyDescent="0.2">
      <c r="W14" s="34"/>
      <c r="X14" s="47"/>
      <c r="Y14" s="21"/>
      <c r="Z14" s="21"/>
      <c r="AA14" s="21"/>
      <c r="AB14" s="21"/>
      <c r="AC14" s="21"/>
      <c r="AD14" s="21"/>
      <c r="AE14" s="21"/>
      <c r="AF14" s="21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ht="15" x14ac:dyDescent="0.2">
      <c r="W18" s="55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ht="15" x14ac:dyDescent="0.2">
      <c r="W19" s="34"/>
      <c r="X19" s="47"/>
      <c r="Y19" s="56"/>
      <c r="Z19" s="56"/>
      <c r="AA19" s="56"/>
      <c r="AB19" s="56"/>
      <c r="AC19" s="56"/>
      <c r="AD19" s="56"/>
      <c r="AE19" s="56"/>
      <c r="AF19" s="3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x14ac:dyDescent="0.2">
      <c r="W21" s="34"/>
      <c r="X21" s="47"/>
      <c r="Y21" s="42"/>
      <c r="Z21" s="42"/>
      <c r="AA21" s="42"/>
      <c r="AB21" s="42"/>
      <c r="AC21" s="42"/>
      <c r="AD21" s="42"/>
      <c r="AE21" s="42"/>
      <c r="AF21" s="21"/>
    </row>
    <row r="22" spans="23:32" x14ac:dyDescent="0.2">
      <c r="W22" s="21"/>
      <c r="X22" s="42"/>
      <c r="Y22" s="42"/>
      <c r="Z22" s="42"/>
      <c r="AA22" s="42"/>
      <c r="AB22" s="42"/>
      <c r="AC22" s="42"/>
      <c r="AD22" s="42"/>
      <c r="AE22" s="42"/>
      <c r="AF22" s="32"/>
    </row>
    <row r="24" spans="23:32" x14ac:dyDescent="0.2">
      <c r="X24" s="38"/>
      <c r="Y24" s="38"/>
      <c r="Z24" s="38"/>
      <c r="AA24" s="38"/>
      <c r="AB24" s="38"/>
      <c r="AC24" s="38"/>
      <c r="AD24" s="38"/>
      <c r="AE24" s="38"/>
    </row>
    <row r="43" ht="12.75" customHeight="1" x14ac:dyDescent="0.2"/>
    <row r="44" ht="24" customHeight="1" x14ac:dyDescent="0.2"/>
  </sheetData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2026-03-17T12:49:22Z</dcterms:modified>
</cp:coreProperties>
</file>