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CE56B55E-9666-4F54-99BD-EA4700E85E90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Evolución_Anual" sheetId="16" r:id="rId16"/>
    <sheet name="Impresión" sheetId="17" state="hidden" r:id="rId17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0">Carátula!$A$1:$H$41</definedName>
    <definedName name="_xlnm.Print_Area" localSheetId="15">Evolución_Anual!$A$1:$M$46</definedName>
    <definedName name="_xlnm.Print_Area" localSheetId="16">Impresión!$A$1:$R$45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5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0" l="1"/>
  <c r="J15" i="20"/>
  <c r="I15" i="20"/>
  <c r="H15" i="20"/>
  <c r="G15" i="20"/>
  <c r="F15" i="20"/>
  <c r="E15" i="20"/>
  <c r="D15" i="20"/>
  <c r="N15" i="20" s="1"/>
  <c r="C15" i="20"/>
  <c r="B15" i="20"/>
  <c r="L15" i="20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N15" i="19" l="1"/>
  <c r="M12" i="16" s="1"/>
  <c r="B16" i="15"/>
  <c r="G2" i="17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<sst xmlns="http://schemas.openxmlformats.org/spreadsheetml/2006/main" count="722" uniqueCount="66">
  <si>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</si>
  <si>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</si>
  <si>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</si>
  <si>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</si>
  <si>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</si>
  <si>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</si>
  <si>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</si>
  <si>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</si>
  <si>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</si>
  <si>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</si>
  <si>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</si>
  <si>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</si>
  <si>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</si>
  <si>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</si>
  <si>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</si>
  <si>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</si>
  <si>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</si>
  <si>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</si>
  <si>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</si>
  <si>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</si>
  <si>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</si>
  <si>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</si>
  <si>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</si>
  <si>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</si>
  <si>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</si>
  <si>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</si>
  <si>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</si>
  <si>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</si>
  <si>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</si>
  <si>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</si>
  <si>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</si>
  <si>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</si>
  <si>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</si>
  <si>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</si>
  <si>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</si>
  <si>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</si>
  <si>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</si>
  <si>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</si>
  <si>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</si>
  <si>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</si>
  <si>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</si>
  <si>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</si>
  <si>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</si>
  <si>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</si>
  <si>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</si>
  <si>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</si>
  <si>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</si>
  <si>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</si>
  <si>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</si>
  <si>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</si>
  <si>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</si>
  <si>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</si>
  <si>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</si>
  <si>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</si>
  <si>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</si>
  <si>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</si>
  <si>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</si>
  <si>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</si>
  <si>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</si>
  <si>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</si>
  <si>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</si>
  <si>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</si>
  <si>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</si>
  <si>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</si>
  <si>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</si>
  <si>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Información provisional elaborada a partir de la información disponible a fecha 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</si>
</sst>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7" fontId="7" fillId="2" borderId="15" xfId="0" applyNumberFormat="1" applyFont="1" applyFill="1" applyBorder="1" applyAlignment="1">
      <alignment vertical="center"/>
    </xf>
    <xf numFmtId="17" fontId="7" fillId="2" borderId="16" xfId="0" applyNumberFormat="1" applyFont="1" applyFill="1" applyBorder="1" applyAlignment="1">
      <alignment vertical="center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  <c:pt idx="9">
                  <c:v>-15.498000000000005</c:v>
                </c:pt>
                <c:pt idx="10">
                  <c:v>37.441000000000003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  <c:pt idx="9">
                  <c:v>114.73599999999897</c:v>
                </c:pt>
                <c:pt idx="10">
                  <c:v>74.089999999999236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  <c:pt idx="9">
                  <c:v>5569.0999999999995</c:v>
                </c:pt>
                <c:pt idx="10">
                  <c:v>5199.1909999999998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9.5690000000000026</c:v>
                </c:pt>
                <c:pt idx="10">
                  <c:v>20.322999999999993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86.843000000000004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224.52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  <c:pt idx="9">
                  <c:v>193.96800000000002</c:v>
                </c:pt>
                <c:pt idx="10">
                  <c:v>272.54000000000087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NOVIEMBRE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5005.2659999999996</c:v>
                </c:pt>
                <c:pt idx="1">
                  <c:v>5199.1909999999998</c:v>
                </c:pt>
                <c:pt idx="2">
                  <c:v>5125.1010000000006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NOVIEMBRE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13.743000000000393</c:v>
                </c:pt>
                <c:pt idx="1">
                  <c:v>-190.834</c:v>
                </c:pt>
                <c:pt idx="2">
                  <c:v>37.441000000000003</c:v>
                </c:pt>
                <c:pt idx="3">
                  <c:v>26.579000000000001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NOVIEMBRE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174.13200000000001</c:v>
                </c:pt>
                <c:pt idx="1">
                  <c:v>0</c:v>
                </c:pt>
                <c:pt idx="2">
                  <c:v>98.486000000000004</c:v>
                </c:pt>
                <c:pt idx="3">
                  <c:v>20.322999999999993</c:v>
                </c:pt>
                <c:pt idx="4">
                  <c:v>90.682000000000002</c:v>
                </c:pt>
                <c:pt idx="5">
                  <c:v>0</c:v>
                </c:pt>
                <c:pt idx="6">
                  <c:v>86.843000000000004</c:v>
                </c:pt>
                <c:pt idx="7">
                  <c:v>2.5150000000000001</c:v>
                </c:pt>
                <c:pt idx="8">
                  <c:v>0</c:v>
                </c:pt>
                <c:pt idx="9">
                  <c:v>711.66700000000014</c:v>
                </c:pt>
                <c:pt idx="10">
                  <c:v>0</c:v>
                </c:pt>
                <c:pt idx="11">
                  <c:v>0</c:v>
                </c:pt>
                <c:pt idx="12">
                  <c:v>31.084</c:v>
                </c:pt>
                <c:pt idx="13">
                  <c:v>0</c:v>
                </c:pt>
                <c:pt idx="14">
                  <c:v>806.61599999999999</c:v>
                </c:pt>
                <c:pt idx="15">
                  <c:v>0</c:v>
                </c:pt>
                <c:pt idx="16">
                  <c:v>274.858</c:v>
                </c:pt>
                <c:pt idx="17">
                  <c:v>16.934000000000001</c:v>
                </c:pt>
                <c:pt idx="18">
                  <c:v>9.6539999999999999</c:v>
                </c:pt>
                <c:pt idx="19">
                  <c:v>76.653999999999996</c:v>
                </c:pt>
                <c:pt idx="20">
                  <c:v>0</c:v>
                </c:pt>
                <c:pt idx="21">
                  <c:v>1721.567</c:v>
                </c:pt>
                <c:pt idx="22">
                  <c:v>33.314999999999998</c:v>
                </c:pt>
                <c:pt idx="23">
                  <c:v>0</c:v>
                </c:pt>
                <c:pt idx="24">
                  <c:v>0</c:v>
                </c:pt>
                <c:pt idx="25">
                  <c:v>0.10299999999999999</c:v>
                </c:pt>
                <c:pt idx="26">
                  <c:v>29.7</c:v>
                </c:pt>
                <c:pt idx="27">
                  <c:v>224.52</c:v>
                </c:pt>
                <c:pt idx="28">
                  <c:v>24.262</c:v>
                </c:pt>
                <c:pt idx="29">
                  <c:v>116.863</c:v>
                </c:pt>
                <c:pt idx="30">
                  <c:v>10.99</c:v>
                </c:pt>
                <c:pt idx="31">
                  <c:v>6.7880000000000003</c:v>
                </c:pt>
                <c:pt idx="32">
                  <c:v>284.005</c:v>
                </c:pt>
                <c:pt idx="33">
                  <c:v>272.54000000000087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  <c:pt idx="9">
                  <c:v>5454.3640000000005</c:v>
                </c:pt>
                <c:pt idx="10">
                  <c:v>5125.1010000000006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Evolución_Anual!$B$2:$M$2</c:f>
              <c:numCache>
                <c:formatCode>0.00</c:formatCode>
                <c:ptCount val="12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Evolución_Anual!$B$3:$M$3</c:f>
              <c:numCache>
                <c:formatCode>0.00</c:formatCode>
                <c:ptCount val="12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Evolución_Anual!$B$25:$M$25</c:f>
              <c:numCache>
                <c:formatCode>0.00</c:formatCode>
                <c:ptCount val="12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Evolución_Anual!$B$26:$M$26</c:f>
              <c:numCache>
                <c:formatCode>0.00</c:formatCode>
                <c:ptCount val="12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Evolución_Anual!$B$27:$M$27</c:f>
              <c:numCache>
                <c:formatCode>0.00</c:formatCode>
                <c:ptCount val="12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Evolución_Anual!$B$13:$M$13</c:f>
              <c:numCache>
                <c:formatCode>0.00</c:formatCode>
                <c:ptCount val="12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Evolución_Anual!$B$14:$M$14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Evolución_Anual!$B$15:$M$15</c:f>
              <c:numCache>
                <c:formatCode>0.00</c:formatCode>
                <c:ptCount val="12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Evolución_Anual!$B$16:$M$16</c:f>
              <c:numCache>
                <c:formatCode>0.00</c:formatCode>
                <c:ptCount val="12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Evolución_Anual!$B$22:$M$22</c:f>
              <c:numCache>
                <c:formatCode>0.00</c:formatCode>
                <c:ptCount val="12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Evolución_Anual!$B$28:$M$28</c:f>
              <c:numCache>
                <c:formatCode>0.00</c:formatCode>
                <c:ptCount val="12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Evolución_Anual!$B$29:$M$29</c:f>
              <c:numCache>
                <c:formatCode>0.00</c:formatCode>
                <c:ptCount val="12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Evolución_Anual!$B$30:$M$30</c:f>
              <c:numCache>
                <c:formatCode>0.00</c:formatCode>
                <c:ptCount val="12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Evolución_Anual!$B$31:$M$31</c:f>
              <c:numCache>
                <c:formatCode>0.00</c:formatCode>
                <c:ptCount val="12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Evolución_Anual!$B$32:$M$32</c:f>
              <c:numCache>
                <c:formatCode>0.00</c:formatCode>
                <c:ptCount val="12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Evolución_Anual!$B$33:$M$33</c:f>
              <c:numCache>
                <c:formatCode>0.00</c:formatCode>
                <c:ptCount val="12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Evolución_Anual!$B$34:$M$34</c:f>
              <c:numCache>
                <c:formatCode>0.00</c:formatCode>
                <c:ptCount val="12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Evolución_Anual!$B$37:$M$37</c:f>
              <c:numCache>
                <c:formatCode>0.00</c:formatCode>
                <c:ptCount val="12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Evolución_Anual!$B$38:$M$38</c:f>
              <c:numCache>
                <c:formatCode>0.00</c:formatCode>
                <c:ptCount val="12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Evolución_Anual!$B$39:$M$39</c:f>
              <c:numCache>
                <c:formatCode>0.00</c:formatCode>
                <c:ptCount val="12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Evolución_Anual!$B$40:$M$40</c:f>
              <c:numCache>
                <c:formatCode>0.00</c:formatCode>
                <c:ptCount val="12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Evolución_Anual!$B$45:$M$45</c:f>
              <c:numCache>
                <c:formatCode>0.00</c:formatCode>
                <c:ptCount val="12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Evolución_Anual!$B$41:$M$41</c:f>
              <c:numCache>
                <c:formatCode>0.00</c:formatCode>
                <c:ptCount val="12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Evolución_Anual!$B$42:$M$42</c:f>
              <c:numCache>
                <c:formatCode>0.00</c:formatCode>
                <c:ptCount val="12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Evolución_Anual!$B$43:$M$43</c:f>
              <c:numCache>
                <c:formatCode>0.00</c:formatCode>
                <c:ptCount val="12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Evolución_Anual!$B$44:$M$44</c:f>
              <c:numCache>
                <c:formatCode>0.00</c:formatCode>
                <c:ptCount val="12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Evolución_Anual!$B$46:$M$46</c:f>
              <c:numCache>
                <c:formatCode>0.00</c:formatCode>
                <c:ptCount val="12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Evolución_Anual!$B$17:$M$17</c:f>
              <c:numCache>
                <c:formatCode>0.00</c:formatCode>
                <c:ptCount val="12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Evolución_Anual!$B$18:$M$18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Evolución_Anual!$B$19:$M$19</c:f>
              <c:numCache>
                <c:formatCode>0.00</c:formatCode>
                <c:ptCount val="12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Evolución_Anual!$B$20:$M$20</c:f>
              <c:numCache>
                <c:formatCode>0.00</c:formatCode>
                <c:ptCount val="12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Evolución_Anual!$B$21:$M$21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Evolución_Anual!$B$9:$M$9</c:f>
              <c:numCache>
                <c:formatCode>0.00</c:formatCode>
                <c:ptCount val="12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Evolución_Anual!$B$10:$M$10</c:f>
              <c:numCache>
                <c:formatCode>0.00</c:formatCode>
                <c:ptCount val="12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Evolución_Anual!$B$11:$M$11</c:f>
              <c:numCache>
                <c:formatCode>0.00</c:formatCode>
                <c:ptCount val="12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Evolución_Anual!$B$12:$M$12</c:f>
              <c:numCache>
                <c:formatCode>0.00</c:formatCode>
                <c:ptCount val="12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NOVIEMBRE 2025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5005.2659999999996</c:v>
                </c:pt>
                <c:pt idx="1">
                  <c:v>5199.1909999999998</c:v>
                </c:pt>
                <c:pt idx="2">
                  <c:v>5125.1010000000006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NOVIEMBRE 2025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13.743000000000393</c:v>
                </c:pt>
                <c:pt idx="1">
                  <c:v>-190.834</c:v>
                </c:pt>
                <c:pt idx="2">
                  <c:v>37.441000000000003</c:v>
                </c:pt>
                <c:pt idx="3">
                  <c:v>26.579000000000001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NOVIEMBRE 2025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174.13200000000001</c:v>
                </c:pt>
                <c:pt idx="1">
                  <c:v>0</c:v>
                </c:pt>
                <c:pt idx="2">
                  <c:v>98.486000000000004</c:v>
                </c:pt>
                <c:pt idx="3">
                  <c:v>20.322999999999993</c:v>
                </c:pt>
                <c:pt idx="4">
                  <c:v>90.682000000000002</c:v>
                </c:pt>
                <c:pt idx="5">
                  <c:v>0</c:v>
                </c:pt>
                <c:pt idx="6">
                  <c:v>86.843000000000004</c:v>
                </c:pt>
                <c:pt idx="7">
                  <c:v>2.5150000000000001</c:v>
                </c:pt>
                <c:pt idx="8">
                  <c:v>0</c:v>
                </c:pt>
                <c:pt idx="9">
                  <c:v>711.66700000000014</c:v>
                </c:pt>
                <c:pt idx="10">
                  <c:v>0</c:v>
                </c:pt>
                <c:pt idx="11">
                  <c:v>0</c:v>
                </c:pt>
                <c:pt idx="12">
                  <c:v>31.084</c:v>
                </c:pt>
                <c:pt idx="13">
                  <c:v>0</c:v>
                </c:pt>
                <c:pt idx="14">
                  <c:v>806.61599999999999</c:v>
                </c:pt>
                <c:pt idx="15">
                  <c:v>0</c:v>
                </c:pt>
                <c:pt idx="16">
                  <c:v>274.858</c:v>
                </c:pt>
                <c:pt idx="17">
                  <c:v>16.934000000000001</c:v>
                </c:pt>
                <c:pt idx="18">
                  <c:v>9.6539999999999999</c:v>
                </c:pt>
                <c:pt idx="19">
                  <c:v>76.653999999999996</c:v>
                </c:pt>
                <c:pt idx="20">
                  <c:v>0</c:v>
                </c:pt>
                <c:pt idx="21">
                  <c:v>1721.567</c:v>
                </c:pt>
                <c:pt idx="22">
                  <c:v>33.314999999999998</c:v>
                </c:pt>
                <c:pt idx="23">
                  <c:v>0</c:v>
                </c:pt>
                <c:pt idx="24">
                  <c:v>0</c:v>
                </c:pt>
                <c:pt idx="25">
                  <c:v>0.10299999999999999</c:v>
                </c:pt>
                <c:pt idx="26">
                  <c:v>29.7</c:v>
                </c:pt>
                <c:pt idx="27">
                  <c:v>224.52</c:v>
                </c:pt>
                <c:pt idx="28">
                  <c:v>24.262</c:v>
                </c:pt>
                <c:pt idx="29">
                  <c:v>116.863</c:v>
                </c:pt>
                <c:pt idx="30">
                  <c:v>10.99</c:v>
                </c:pt>
                <c:pt idx="31">
                  <c:v>6.7880000000000003</c:v>
                </c:pt>
                <c:pt idx="32">
                  <c:v>284.005</c:v>
                </c:pt>
                <c:pt idx="33">
                  <c:v>272.54000000000087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20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14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20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15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20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20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15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15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20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15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86590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11205</xdr:rowOff>
    </xdr:from>
    <xdr:ext cx="7958132" cy="7093324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K12" sqref="K12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'2025'!AV3</f>
        <v>NOVIEMBRE 2025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65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1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X28" zoomScale="85" zoomScaleNormal="85" workbookViewId="0">
      <selection activeCell="AB32" sqref="AB32:AQ8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NOVIEMBRE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NOVIEMBRE 2025</v>
      </c>
    </row>
    <row r="4" spans="1:61" s="16" customFormat="1" ht="21" customHeight="1" x14ac:dyDescent="0.2">
      <c r="A4" s="11" t="s">
        <v>13</v>
      </c>
      <c r="B4" s="91">
        <v>45658</v>
      </c>
      <c r="C4" s="92">
        <v>45689</v>
      </c>
      <c r="D4" s="92">
        <v>45717</v>
      </c>
      <c r="E4" s="92">
        <v>45748</v>
      </c>
      <c r="F4" s="92">
        <v>45778</v>
      </c>
      <c r="G4" s="14">
        <v>45809</v>
      </c>
      <c r="H4" s="14">
        <v>45839</v>
      </c>
      <c r="I4" s="14">
        <v>45870</v>
      </c>
      <c r="J4" s="14">
        <v>45901</v>
      </c>
      <c r="K4" s="14">
        <v>45931</v>
      </c>
      <c r="L4" s="14">
        <v>45962</v>
      </c>
      <c r="M4" s="14"/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/>
      <c r="N5" s="20">
        <f>SUM(B5:M5)</f>
        <v>1.1209999999999998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/>
      <c r="N6" s="25">
        <f>SUM(B6:M6)</f>
        <v>56108.941000000006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5005.2659999999996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/>
      <c r="N7" s="29">
        <f t="shared" ref="N7:N49" si="0">SUM(B7:M7)</f>
        <v>742.82900000000154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5199.1909999999998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>
        <v>133.40100000000001</v>
      </c>
      <c r="L8" s="28">
        <v>-190.834</v>
      </c>
      <c r="M8" s="28"/>
      <c r="N8" s="29">
        <f t="shared" si="0"/>
        <v>40.295999999999964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5125.1010000000006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>
        <v>-15.498000000000005</v>
      </c>
      <c r="L9" s="28">
        <v>37.441000000000003</v>
      </c>
      <c r="M9" s="28"/>
      <c r="N9" s="29">
        <f t="shared" si="0"/>
        <v>394.34499999999991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>
        <v>72.234999999999999</v>
      </c>
      <c r="L10" s="28">
        <v>26.579000000000001</v>
      </c>
      <c r="M10" s="28"/>
      <c r="N10" s="29">
        <f t="shared" si="0"/>
        <v>536.24800000000005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/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13.743000000000393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>
        <v>5569.0999999999995</v>
      </c>
      <c r="L12" s="24">
        <v>5199.1909999999998</v>
      </c>
      <c r="M12" s="24"/>
      <c r="N12" s="25">
        <f>SUM(B12:M12)</f>
        <v>56954.497999999992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-190.834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>
        <v>5561.3209999999999</v>
      </c>
      <c r="L13" s="28">
        <v>5196.3100000000004</v>
      </c>
      <c r="M13" s="28"/>
      <c r="N13" s="29">
        <f t="shared" si="0"/>
        <v>56069.765999999989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37.441000000000003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>
        <v>114.73599999999897</v>
      </c>
      <c r="L14" s="28">
        <v>74.089999999999236</v>
      </c>
      <c r="M14" s="28"/>
      <c r="N14" s="29">
        <f t="shared" si="0"/>
        <v>986.66299999999956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26.579000000000001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K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>
        <f t="shared" si="1"/>
        <v>5454.3640000000005</v>
      </c>
      <c r="L15" s="24">
        <f t="shared" ref="L15" si="2">SUM(L16:L49)</f>
        <v>5125.1010000000006</v>
      </c>
      <c r="M15" s="24"/>
      <c r="N15" s="25">
        <f t="shared" si="0"/>
        <v>55967.835000000006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/>
      <c r="N16" s="4">
        <f t="shared" si="0"/>
        <v>1962.1090000000002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174.13200000000001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/>
      <c r="N18" s="4">
        <f t="shared" si="0"/>
        <v>976.70099999999991</v>
      </c>
      <c r="AU18" s="80" t="str">
        <f t="shared" ref="AU18:AU50" si="3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9.5690000000000026</v>
      </c>
      <c r="L19" s="2">
        <v>20.322999999999993</v>
      </c>
      <c r="M19" s="2"/>
      <c r="N19" s="4">
        <f t="shared" si="0"/>
        <v>137.63800000000001</v>
      </c>
      <c r="AU19" s="80" t="str">
        <f t="shared" si="3"/>
        <v>Butano</v>
      </c>
      <c r="AV19" s="81">
        <f>HLOOKUP(MAXA(B4:M4),$B$4:$M$49,15,FALSE)</f>
        <v>98.486000000000004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/>
      <c r="N20" s="4">
        <f t="shared" si="0"/>
        <v>1383.174</v>
      </c>
      <c r="AU20" s="80" t="str">
        <f t="shared" si="3"/>
        <v>Propano</v>
      </c>
      <c r="AV20" s="81">
        <f>HLOOKUP(MAXA(B4:M4),$B$4:$M$49,16,FALSE)</f>
        <v>20.322999999999993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/>
      <c r="N21" s="4">
        <f t="shared" si="0"/>
        <v>0</v>
      </c>
      <c r="AU21" s="80" t="str">
        <f t="shared" si="3"/>
        <v>Nafta</v>
      </c>
      <c r="AV21" s="81">
        <f>HLOOKUP(MAXA(B4:M4),$B$4:$M$49,17,FALSE)</f>
        <v>90.682000000000002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86.843000000000004</v>
      </c>
      <c r="M22" s="2"/>
      <c r="N22" s="4">
        <f t="shared" si="0"/>
        <v>996.36699999999985</v>
      </c>
      <c r="AU22" s="80" t="str">
        <f t="shared" si="3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/>
      <c r="N23" s="4">
        <f t="shared" si="0"/>
        <v>95.61999999999999</v>
      </c>
      <c r="AU23" s="80" t="str">
        <f t="shared" si="3"/>
        <v>Gasolina 95 I.O.</v>
      </c>
      <c r="AV23" s="81">
        <f>HLOOKUP(MAXA(B4:M4),$B$4:$M$49,19,FALSE)</f>
        <v>86.843000000000004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/>
      <c r="N24" s="4">
        <f t="shared" si="0"/>
        <v>0</v>
      </c>
      <c r="AU24" s="80" t="str">
        <f t="shared" si="3"/>
        <v>Gasolina 98 I.O.</v>
      </c>
      <c r="AV24" s="81">
        <f>HLOOKUP(MAXA(B4:M4),$B$4:$M$49,20,FALSE)</f>
        <v>2.5150000000000001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711.66700000000014</v>
      </c>
      <c r="M25" s="2"/>
      <c r="N25" s="4">
        <f t="shared" si="0"/>
        <v>7613.2079999999996</v>
      </c>
      <c r="AU25" s="80" t="str">
        <f t="shared" si="3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/>
      <c r="N26" s="4">
        <f t="shared" si="0"/>
        <v>0</v>
      </c>
      <c r="AU26" s="80" t="str">
        <f t="shared" si="3"/>
        <v>Otras Gasolinas</v>
      </c>
      <c r="AV26" s="81">
        <f>HLOOKUP(MAXA(B4:M4),$B$4:$M$49,22,FALSE)</f>
        <v>711.66700000000014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/>
      <c r="N27" s="4">
        <f t="shared" si="0"/>
        <v>0</v>
      </c>
      <c r="AU27" s="80" t="str">
        <f t="shared" si="3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/>
      <c r="N28" s="4">
        <f t="shared" si="0"/>
        <v>448.483</v>
      </c>
      <c r="AU28" s="80" t="str">
        <f t="shared" si="3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/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31.084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/>
      <c r="N30" s="4">
        <f t="shared" si="0"/>
        <v>8556.8610000000008</v>
      </c>
      <c r="AU30" s="80" t="str">
        <f t="shared" si="3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/>
      <c r="N31" s="4">
        <f t="shared" si="0"/>
        <v>0</v>
      </c>
      <c r="AU31" s="80" t="str">
        <f t="shared" si="3"/>
        <v>Otros Querosenos</v>
      </c>
      <c r="AV31" s="81">
        <f>HLOOKUP(MAXA(B4:M4),$B$4:$M$49,27,FALSE)</f>
        <v>806.61599999999999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/>
      <c r="N32" s="4">
        <f t="shared" si="0"/>
        <v>2860.1750000000002</v>
      </c>
      <c r="AU32" s="80" t="str">
        <f t="shared" si="3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/>
      <c r="N33" s="4">
        <f t="shared" si="0"/>
        <v>297.89800000000002</v>
      </c>
      <c r="AU33" s="80" t="str">
        <f t="shared" si="3"/>
        <v>Gasóleo A 10 PPM</v>
      </c>
      <c r="AV33" s="81">
        <f>HLOOKUP(MAXA(B4:M4),$B$4:$M$49,29,FALSE)</f>
        <v>274.858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/>
      <c r="N34" s="4">
        <f t="shared" si="0"/>
        <v>90.825999999999993</v>
      </c>
      <c r="AU34" s="80" t="str">
        <f t="shared" si="3"/>
        <v>Gasóleo B</v>
      </c>
      <c r="AV34" s="81">
        <f>HLOOKUP(MAXA(B4:M4),$B$4:$M$49,30,FALSE)</f>
        <v>16.934000000000001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/>
      <c r="N35" s="4">
        <f t="shared" si="0"/>
        <v>832.68499999999995</v>
      </c>
      <c r="AU35" s="80" t="str">
        <f t="shared" si="3"/>
        <v>Gasóleo C</v>
      </c>
      <c r="AV35" s="81">
        <f>HLOOKUP(MAXA(B4:M4),$B$4:$M$49,31,FALSE)</f>
        <v>9.6539999999999999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/>
      <c r="N36" s="4">
        <f t="shared" si="0"/>
        <v>0</v>
      </c>
      <c r="AU36" s="80" t="str">
        <f t="shared" si="3"/>
        <v>Gasóleo para uso marítimo</v>
      </c>
      <c r="AV36" s="81">
        <f>HLOOKUP(MAXA(B4:M4),$B$4:$M$49,32,FALSE)</f>
        <v>76.653999999999996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>
        <v>1859.5649999999998</v>
      </c>
      <c r="L37" s="2">
        <v>1721.567</v>
      </c>
      <c r="M37" s="2"/>
      <c r="N37" s="4">
        <f t="shared" si="0"/>
        <v>18560.935000000001</v>
      </c>
      <c r="AU37" s="80" t="str">
        <f t="shared" si="3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>
        <v>29.521999999999998</v>
      </c>
      <c r="L38" s="2">
        <v>33.314999999999998</v>
      </c>
      <c r="M38" s="2"/>
      <c r="N38" s="4">
        <f t="shared" si="0"/>
        <v>310.10000000000002</v>
      </c>
      <c r="AU38" s="80" t="str">
        <f t="shared" si="3"/>
        <v>Otros Gasóleos</v>
      </c>
      <c r="AV38" s="81">
        <f>HLOOKUP(MAXA(B4:M4),$B$4:$M$49,34,FALSE)</f>
        <v>1721.567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/>
      <c r="N39" s="4">
        <f t="shared" si="0"/>
        <v>0</v>
      </c>
      <c r="AU39" s="80" t="str">
        <f t="shared" si="3"/>
        <v>Biodiesel</v>
      </c>
      <c r="AV39" s="81">
        <f>HLOOKUP(MAXA(B4:M4),$B$4:$M$49,35,FALSE)</f>
        <v>33.314999999999998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/>
      <c r="N40" s="4">
        <f t="shared" si="0"/>
        <v>2.1000000000000001E-2</v>
      </c>
      <c r="AU40" s="80" t="str">
        <f t="shared" si="3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>
        <v>0.06</v>
      </c>
      <c r="L41" s="2">
        <v>0.10299999999999999</v>
      </c>
      <c r="M41" s="2"/>
      <c r="N41" s="4">
        <f t="shared" si="0"/>
        <v>0.49499999999999994</v>
      </c>
      <c r="AU41" s="80" t="str">
        <f t="shared" si="3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29.7</v>
      </c>
      <c r="M42" s="2"/>
      <c r="N42" s="4">
        <f t="shared" si="0"/>
        <v>29.7</v>
      </c>
      <c r="AU42" s="80" t="str">
        <f t="shared" si="3"/>
        <v>Fuelóleo de refineria</v>
      </c>
      <c r="AV42" s="81">
        <f>HLOOKUP(MAXA(B4:M4),$B$4:$M$49,38,FALSE)</f>
        <v>0.10299999999999999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224.52</v>
      </c>
      <c r="M43" s="2"/>
      <c r="N43" s="4">
        <f t="shared" si="0"/>
        <v>3424.77</v>
      </c>
      <c r="AU43" s="80" t="str">
        <f t="shared" si="3"/>
        <v>Otros combustibles para uso marítimo</v>
      </c>
      <c r="AV43" s="81">
        <f>HLOOKUP(MAXA(B4:M4),$B$4:$M$49,39,FALSE)</f>
        <v>29.7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/>
      <c r="N44" s="4">
        <f t="shared" si="0"/>
        <v>261.76800000000003</v>
      </c>
      <c r="AU44" s="80" t="str">
        <f>A43</f>
        <v>Otros Fuelóleos</v>
      </c>
      <c r="AV44" s="81">
        <f>HLOOKUP(MAXA(B4:M4),$B$4:$M$49,40,FALSE)</f>
        <v>224.52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116.863</v>
      </c>
      <c r="M45" s="2"/>
      <c r="N45" s="4">
        <f t="shared" si="0"/>
        <v>1513.8219999999999</v>
      </c>
      <c r="AU45" s="80" t="str">
        <f t="shared" si="3"/>
        <v>Aceites y bases lubricantes</v>
      </c>
      <c r="AV45" s="81">
        <f>HLOOKUP(MAXA(B4:M4),$B$4:$M$49,41,FALSE)</f>
        <v>24.262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/>
      <c r="N46" s="4">
        <f t="shared" si="0"/>
        <v>108.64999999999999</v>
      </c>
      <c r="AU46" s="80" t="str">
        <f t="shared" si="3"/>
        <v>Productos asfálticos</v>
      </c>
      <c r="AV46" s="81">
        <f>HLOOKUP(MAXA(B4:M4),$B$4:$M$49,42,FALSE)</f>
        <v>116.863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/>
      <c r="N47" s="4">
        <f t="shared" si="0"/>
        <v>65.245999999999995</v>
      </c>
      <c r="AU47" s="80" t="str">
        <f t="shared" si="3"/>
        <v>Disolventes</v>
      </c>
      <c r="AV47" s="81">
        <f>HLOOKUP(MAXA(B4:M4),$B$4:$M$49,43,FALSE)</f>
        <v>10.99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/>
      <c r="N48" s="4">
        <f t="shared" si="0"/>
        <v>3060.3310000000001</v>
      </c>
      <c r="AU48" s="80" t="str">
        <f t="shared" si="3"/>
        <v>Parafinas</v>
      </c>
      <c r="AV48" s="81">
        <f>HLOOKUP(MAXA(B4:M4),$B$4:$M$49,44,FALSE)</f>
        <v>6.7880000000000003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>
        <v>193.96800000000002</v>
      </c>
      <c r="L49" s="5">
        <v>272.54000000000087</v>
      </c>
      <c r="M49" s="5"/>
      <c r="N49" s="6">
        <f t="shared" si="0"/>
        <v>2380.251999999999</v>
      </c>
      <c r="AU49" s="80" t="str">
        <f t="shared" si="3"/>
        <v>Coque de petróleo</v>
      </c>
      <c r="AV49" s="81">
        <f>HLOOKUP(MAXA(B4:M4),$B$4:$M$49,45,FALSE)</f>
        <v>284.005</v>
      </c>
      <c r="AW49" s="81"/>
    </row>
    <row r="50" spans="1:49" x14ac:dyDescent="0.2">
      <c r="F50" s="41"/>
      <c r="AU50" s="80" t="str">
        <f t="shared" si="3"/>
        <v>Otros Productos</v>
      </c>
      <c r="AV50" s="81">
        <f>HLOOKUP(MAXA(B4:M4),$B$4:$M$49,46,FALSE)</f>
        <v>272.54000000000087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V47"/>
  <sheetViews>
    <sheetView showGridLines="0" zoomScale="70" zoomScaleNormal="70" workbookViewId="0">
      <selection activeCell="M47" sqref="M47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4" width="11" style="59"/>
    <col min="45" max="45" width="9.375" style="59" customWidth="1"/>
    <col min="46" max="47" width="11" style="59"/>
    <col min="48" max="48" width="11" style="90"/>
    <col min="49" max="16384" width="11" style="59"/>
  </cols>
  <sheetData>
    <row r="1" spans="1:15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</row>
    <row r="2" spans="1:15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9"/>
      <c r="O2" s="69"/>
    </row>
    <row r="3" spans="1:15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9"/>
      <c r="O3" s="69"/>
    </row>
    <row r="4" spans="1:15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9"/>
      <c r="O4" s="69"/>
    </row>
    <row r="5" spans="1:15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9"/>
      <c r="O5" s="69"/>
    </row>
    <row r="6" spans="1:15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9"/>
      <c r="O6" s="69"/>
    </row>
    <row r="7" spans="1:15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9"/>
      <c r="O7" s="69"/>
    </row>
    <row r="8" spans="1:15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9"/>
      <c r="O8" s="69"/>
    </row>
    <row r="9" spans="1:15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9"/>
      <c r="O9" s="69"/>
    </row>
    <row r="10" spans="1:15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9"/>
      <c r="O10" s="69"/>
    </row>
    <row r="11" spans="1:15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9"/>
      <c r="O11" s="70"/>
    </row>
    <row r="12" spans="1:15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9"/>
      <c r="O12" s="69"/>
    </row>
    <row r="13" spans="1:15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9"/>
      <c r="O13" s="69"/>
    </row>
    <row r="14" spans="1:15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9"/>
      <c r="O14" s="69"/>
    </row>
    <row r="15" spans="1:15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9"/>
      <c r="O15" s="69"/>
    </row>
    <row r="16" spans="1:15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9"/>
      <c r="O16" s="69"/>
    </row>
    <row r="17" spans="1:15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9"/>
      <c r="O17" s="69"/>
    </row>
    <row r="18" spans="1:15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9"/>
      <c r="O18" s="69"/>
    </row>
    <row r="19" spans="1:15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9"/>
      <c r="O19" s="69"/>
    </row>
    <row r="20" spans="1:15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9"/>
      <c r="O20" s="69"/>
    </row>
    <row r="21" spans="1:15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9"/>
      <c r="O21" s="69"/>
    </row>
    <row r="22" spans="1:15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9"/>
      <c r="O22" s="69"/>
    </row>
    <row r="23" spans="1:15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9"/>
      <c r="O23" s="69"/>
    </row>
    <row r="24" spans="1:15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9"/>
      <c r="O24" s="69"/>
    </row>
    <row r="25" spans="1:15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9"/>
      <c r="O25" s="69"/>
    </row>
    <row r="26" spans="1:15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9"/>
      <c r="O26" s="69"/>
    </row>
    <row r="27" spans="1:15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9"/>
      <c r="O27" s="69"/>
    </row>
    <row r="28" spans="1:15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9"/>
      <c r="O28" s="69"/>
    </row>
    <row r="29" spans="1:15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9"/>
      <c r="O29" s="70"/>
    </row>
    <row r="30" spans="1:15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9"/>
      <c r="O30" s="69"/>
    </row>
    <row r="31" spans="1:15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9"/>
      <c r="O31" s="69"/>
    </row>
    <row r="32" spans="1:15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9"/>
      <c r="O32" s="69"/>
    </row>
    <row r="33" spans="1:15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9"/>
      <c r="O33" s="69"/>
    </row>
    <row r="34" spans="1:15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9"/>
      <c r="O34" s="70"/>
    </row>
    <row r="35" spans="1:15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9"/>
      <c r="O35" s="70"/>
    </row>
    <row r="36" spans="1:15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9"/>
      <c r="O36" s="69"/>
    </row>
    <row r="37" spans="1:15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9"/>
      <c r="O37" s="69"/>
    </row>
    <row r="38" spans="1:15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9"/>
      <c r="O38" s="69"/>
    </row>
    <row r="39" spans="1:15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9"/>
      <c r="O39" s="69"/>
    </row>
    <row r="40" spans="1:15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9"/>
      <c r="O40" s="70"/>
    </row>
    <row r="41" spans="1:15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9"/>
      <c r="O41" s="69"/>
    </row>
    <row r="42" spans="1:15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9"/>
      <c r="O42" s="69"/>
    </row>
    <row r="43" spans="1:15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9"/>
      <c r="O43" s="69"/>
    </row>
    <row r="44" spans="1:15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9"/>
      <c r="O44" s="69"/>
    </row>
    <row r="45" spans="1:15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9"/>
      <c r="O45" s="69"/>
    </row>
    <row r="46" spans="1:15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9"/>
      <c r="O46" s="70"/>
    </row>
    <row r="47" spans="1:15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zoomScale="55" zoomScaleNormal="55" workbookViewId="0">
      <selection sqref="A1:R45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"&amp;'2025'!$AV$3</f>
        <v>MOVIMIENTO DE CRUDOS Y OBTENCIÓN DE PRODUCTOS PETROLÍFEROS - NOVIEMBRE 2025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2026-01-19T11:43:55Z</dcterms:modified>
</cp:coreProperties>
</file>