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463D7E57-8A36-431F-B975-7554C1589450}" xr6:coauthVersionLast="47" xr6:coauthVersionMax="47" xr10:uidLastSave="{00000000-0000-0000-0000-000000000000}"/>
  <bookViews>
    <workbookView xWindow="-120" yWindow="-120" windowWidth="29040" windowHeight="15840" tabRatio="599" activeTab="13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9" r:id="rId14"/>
    <sheet name="Evolución_Anual" sheetId="16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13">'2024'!$AB$1:$AQ$29</definedName>
    <definedName name="_xlnm.Print_Area" localSheetId="0">Carátula!$A$1:$H$41</definedName>
    <definedName name="_xlnm.Print_Area" localSheetId="14">Evolución_Anual!$A$1:$M$46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4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9" l="1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AV3" i="19"/>
  <c r="B16" i="15" s="1"/>
  <c r="AV6" i="19"/>
  <c r="AV50" i="19"/>
  <c r="AU50" i="19"/>
  <c r="AV49" i="19"/>
  <c r="AU49" i="19"/>
  <c r="N49" i="19"/>
  <c r="AV48" i="19"/>
  <c r="AU48" i="19"/>
  <c r="N48" i="19"/>
  <c r="AV47" i="19"/>
  <c r="AU47" i="19"/>
  <c r="N47" i="19"/>
  <c r="AV46" i="19"/>
  <c r="AU46" i="19"/>
  <c r="N46" i="19"/>
  <c r="AV45" i="19"/>
  <c r="AU45" i="19"/>
  <c r="N45" i="19"/>
  <c r="AV44" i="19"/>
  <c r="AU44" i="19"/>
  <c r="N44" i="19"/>
  <c r="AV43" i="19"/>
  <c r="AU43" i="19"/>
  <c r="N43" i="19"/>
  <c r="AV42" i="19"/>
  <c r="AU42" i="19"/>
  <c r="N42" i="19"/>
  <c r="AV41" i="19"/>
  <c r="AU41" i="19"/>
  <c r="N41" i="19"/>
  <c r="AV40" i="19"/>
  <c r="AU40" i="19"/>
  <c r="N40" i="19"/>
  <c r="AV39" i="19"/>
  <c r="AU39" i="19"/>
  <c r="N39" i="19"/>
  <c r="AV38" i="19"/>
  <c r="AU38" i="19"/>
  <c r="N38" i="19"/>
  <c r="AV37" i="19"/>
  <c r="AU37" i="19"/>
  <c r="N37" i="19"/>
  <c r="AV36" i="19"/>
  <c r="AU36" i="19"/>
  <c r="N36" i="19"/>
  <c r="AV35" i="19"/>
  <c r="AU35" i="19"/>
  <c r="N35" i="19"/>
  <c r="AV34" i="19"/>
  <c r="AU34" i="19"/>
  <c r="N34" i="19"/>
  <c r="AV33" i="19"/>
  <c r="AU33" i="19"/>
  <c r="N33" i="19"/>
  <c r="AV32" i="19"/>
  <c r="AU32" i="19"/>
  <c r="N32" i="19"/>
  <c r="AV31" i="19"/>
  <c r="AU31" i="19"/>
  <c r="N31" i="19"/>
  <c r="AV30" i="19"/>
  <c r="AU30" i="19"/>
  <c r="N30" i="19"/>
  <c r="AV29" i="19"/>
  <c r="AU29" i="19"/>
  <c r="N29" i="19"/>
  <c r="AV28" i="19"/>
  <c r="AU28" i="19"/>
  <c r="N28" i="19"/>
  <c r="AV27" i="19"/>
  <c r="AU27" i="19"/>
  <c r="N27" i="19"/>
  <c r="AV26" i="19"/>
  <c r="AU26" i="19"/>
  <c r="N26" i="19"/>
  <c r="AV25" i="19"/>
  <c r="AU25" i="19"/>
  <c r="N25" i="19"/>
  <c r="AV24" i="19"/>
  <c r="AU24" i="19"/>
  <c r="N24" i="19"/>
  <c r="AV23" i="19"/>
  <c r="AU23" i="19"/>
  <c r="N23" i="19"/>
  <c r="AV22" i="19"/>
  <c r="AU22" i="19"/>
  <c r="N22" i="19"/>
  <c r="AV21" i="19"/>
  <c r="AU21" i="19"/>
  <c r="N21" i="19"/>
  <c r="AV20" i="19"/>
  <c r="AU20" i="19"/>
  <c r="N20" i="19"/>
  <c r="AV19" i="19"/>
  <c r="AU19" i="19"/>
  <c r="N19" i="19"/>
  <c r="AV18" i="19"/>
  <c r="AU18" i="19"/>
  <c r="N18" i="19"/>
  <c r="AV17" i="19"/>
  <c r="AU17" i="19"/>
  <c r="N17" i="19"/>
  <c r="N16" i="19"/>
  <c r="AV15" i="19"/>
  <c r="AU15" i="19"/>
  <c r="N15" i="19"/>
  <c r="AV14" i="19"/>
  <c r="AU14" i="19"/>
  <c r="N14" i="19"/>
  <c r="AV13" i="19"/>
  <c r="AU13" i="19"/>
  <c r="N13" i="19"/>
  <c r="AV12" i="19"/>
  <c r="AU12" i="19"/>
  <c r="N12" i="19"/>
  <c r="AV11" i="19"/>
  <c r="AU11" i="19"/>
  <c r="N11" i="19"/>
  <c r="N10" i="19"/>
  <c r="N9" i="19"/>
  <c r="AV8" i="19"/>
  <c r="AU8" i="19"/>
  <c r="N8" i="19"/>
  <c r="AV7" i="19"/>
  <c r="AU7" i="19"/>
  <c r="N7" i="19"/>
  <c r="AU6" i="19"/>
  <c r="N6" i="19"/>
  <c r="N5" i="19"/>
  <c r="Q1" i="19" l="1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<sst xmlns="http://schemas.openxmlformats.org/spreadsheetml/2006/main" count="673" uniqueCount="64">
  <si>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</si>
  <si>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</si>
  <si>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</si>
  <si>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</si>
  <si>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</si>
  <si>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</si>
  <si>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</si>
  <si>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</si>
  <si>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</si>
  <si>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</si>
  <si>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</si>
  <si>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</si>
  <si>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</si>
  <si>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</si>
  <si>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</si>
  <si>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</si>
  <si>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</si>
  <si>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</si>
  <si>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</si>
  <si>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</si>
  <si>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</si>
  <si>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</si>
  <si>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</si>
  <si>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</si>
  <si>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</si>
  <si>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</si>
  <si>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</si>
  <si>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</si>
  <si>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</si>
  <si>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</si>
  <si>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</si>
  <si>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</si>
  <si>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</si>
  <si>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</si>
  <si>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</si>
  <si>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</si>
  <si>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</si>
  <si>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</si>
  <si>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</si>
  <si>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</si>
  <si>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</si>
  <si>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</si>
  <si>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</si>
  <si>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</si>
  <si>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</si>
  <si>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</si>
  <si>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</si>
  <si>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</si>
  <si>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</si>
  <si>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</si>
  <si>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</si>
  <si>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</si>
  <si>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</si>
  <si>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</si>
  <si>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</si>
  <si>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</si>
  <si>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</si>
  <si>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</si>
  <si>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</si>
  <si>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</si>
  <si>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Otros combustibles para uso marítimo</t>
  </si>
  <si>
    <t>Acumulado 2024</t>
  </si>
  <si>
    <t>MOVIMIENTO DE CRUDOS Y OBTENCIÓN DE PRODUCTOS PETROLÍFEROS - AÑO 2024- EVOLUCIÓN MENSUAL</t>
  </si>
  <si>
    <t>Información provisional elaborada a partir de la información disponible a fecha 17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</si>
</sst>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96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16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/>
    <xf numFmtId="0" fontId="26" fillId="0" borderId="0" xfId="4" applyFont="1"/>
    <xf numFmtId="4" fontId="4" fillId="2" borderId="7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'2024'!$B$5:$M$5</c:f>
              <c:numCache>
                <c:formatCode>#,##0.00</c:formatCode>
                <c:ptCount val="12"/>
                <c:pt idx="0">
                  <c:v>0</c:v>
                </c:pt>
                <c:pt idx="1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4B8-A57A-A1FF53A8C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A-4765-A493-B5B9727B508D}"/>
            </c:ext>
          </c:extLst>
        </c:ser>
        <c:ser>
          <c:idx val="1"/>
          <c:order val="1"/>
          <c:tx>
            <c:strRef>
              <c:f>'2024'!$A$41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'2024'!$B$41:$M$41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A-4765-A493-B5B9727B508D}"/>
            </c:ext>
          </c:extLst>
        </c:ser>
        <c:ser>
          <c:idx val="2"/>
          <c:order val="2"/>
          <c:tx>
            <c:strRef>
              <c:f>'2024'!$A$42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A-4765-A493-B5B9727B508D}"/>
            </c:ext>
          </c:extLst>
        </c:ser>
        <c:ser>
          <c:idx val="3"/>
          <c:order val="3"/>
          <c:tx>
            <c:strRef>
              <c:f>'2024'!$A$43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A-4765-A493-B5B9727B508D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2A-4765-A493-B5B9727B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'2024'!$B$43:$M$43</c:f>
              <c:numCache>
                <c:formatCode>#,##0</c:formatCode>
                <c:ptCount val="12"/>
                <c:pt idx="0">
                  <c:v>450.274</c:v>
                </c:pt>
                <c:pt idx="1">
                  <c:v>328.14400000000001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A-4765-A493-B5B9727B5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'2024'!$B$44:$M$44</c:f>
              <c:numCache>
                <c:formatCode>#,##0</c:formatCode>
                <c:ptCount val="12"/>
                <c:pt idx="0">
                  <c:v>26.797000000000001</c:v>
                </c:pt>
                <c:pt idx="1">
                  <c:v>22.974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7-4C48-A6C3-02C47D367978}"/>
            </c:ext>
          </c:extLst>
        </c:ser>
        <c:ser>
          <c:idx val="1"/>
          <c:order val="1"/>
          <c:tx>
            <c:strRef>
              <c:f>'2024'!$A$45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7-4C48-A6C3-02C47D367978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7-4C48-A6C3-02C47D367978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'2024'!$B$45:$M$45</c:f>
              <c:numCache>
                <c:formatCode>#,##0</c:formatCode>
                <c:ptCount val="12"/>
                <c:pt idx="0">
                  <c:v>120.872</c:v>
                </c:pt>
                <c:pt idx="1">
                  <c:v>138.21100000000001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E7-4C48-A6C3-02C47D367978}"/>
            </c:ext>
          </c:extLst>
        </c:ser>
        <c:ser>
          <c:idx val="2"/>
          <c:order val="2"/>
          <c:tx>
            <c:strRef>
              <c:f>'2024'!$A$46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'2024'!$B$46:$M$46</c:f>
              <c:numCache>
                <c:formatCode>#,##0</c:formatCode>
                <c:ptCount val="12"/>
                <c:pt idx="0">
                  <c:v>8.6430000000000007</c:v>
                </c:pt>
                <c:pt idx="1">
                  <c:v>12.215999999999999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E7-4C48-A6C3-02C47D367978}"/>
            </c:ext>
          </c:extLst>
        </c:ser>
        <c:ser>
          <c:idx val="3"/>
          <c:order val="3"/>
          <c:tx>
            <c:strRef>
              <c:f>'2024'!$A$47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'2024'!$B$47:$M$47</c:f>
              <c:numCache>
                <c:formatCode>#,##0</c:formatCode>
                <c:ptCount val="12"/>
                <c:pt idx="0">
                  <c:v>6.7759999999999998</c:v>
                </c:pt>
                <c:pt idx="1">
                  <c:v>6.7039999999999997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E7-4C48-A6C3-02C47D367978}"/>
            </c:ext>
          </c:extLst>
        </c:ser>
        <c:ser>
          <c:idx val="4"/>
          <c:order val="4"/>
          <c:tx>
            <c:strRef>
              <c:f>'2024'!$A$49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7-4C48-A6C3-02C47D367978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'2024'!$B$49:$M$49</c:f>
              <c:numCache>
                <c:formatCode>#,##0</c:formatCode>
                <c:ptCount val="12"/>
                <c:pt idx="0">
                  <c:v>178.72899999999998</c:v>
                </c:pt>
                <c:pt idx="1">
                  <c:v>231.23899999999867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E7-4C48-A6C3-02C47D36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'2024'!$A$48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79-47CF-8547-5A72642B81C6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79-47CF-8547-5A72642B81C6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79-47CF-8547-5A72642B81C6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79-47CF-8547-5A72642B81C6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79-47CF-8547-5A72642B81C6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9-47CF-8547-5A72642B81C6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79-47CF-8547-5A72642B8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'2024'!$B$48:$M$48</c:f>
              <c:numCache>
                <c:formatCode>#,##0</c:formatCode>
                <c:ptCount val="12"/>
                <c:pt idx="0">
                  <c:v>276.36099999999999</c:v>
                </c:pt>
                <c:pt idx="1">
                  <c:v>333.20699999999999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79-47CF-8547-5A72642B81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6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FEBRERO 2024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5087.451</c:v>
                </c:pt>
                <c:pt idx="1">
                  <c:v>5482.4359999999997</c:v>
                </c:pt>
                <c:pt idx="2">
                  <c:v>5219.4040000000005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BAC-986F-EEED926A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FEBRERO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F-483F-A7A6-F2EE145F6B7D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83F-A7A6-F2EE145F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-8.9480000000003201</c:v>
                </c:pt>
                <c:pt idx="1">
                  <c:v>-393.85</c:v>
                </c:pt>
                <c:pt idx="2">
                  <c:v>12.411000000000001</c:v>
                </c:pt>
                <c:pt idx="3">
                  <c:v>22.417999999999999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F-483F-A7A6-F2EE145F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FEBRERO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141.738</c:v>
                </c:pt>
                <c:pt idx="1">
                  <c:v>0</c:v>
                </c:pt>
                <c:pt idx="2">
                  <c:v>98.212999999999994</c:v>
                </c:pt>
                <c:pt idx="3">
                  <c:v>15.995000000000005</c:v>
                </c:pt>
                <c:pt idx="4">
                  <c:v>150.405</c:v>
                </c:pt>
                <c:pt idx="5">
                  <c:v>0</c:v>
                </c:pt>
                <c:pt idx="6">
                  <c:v>100.797</c:v>
                </c:pt>
                <c:pt idx="7">
                  <c:v>10.430999999999999</c:v>
                </c:pt>
                <c:pt idx="8">
                  <c:v>0</c:v>
                </c:pt>
                <c:pt idx="9">
                  <c:v>593.98899999999992</c:v>
                </c:pt>
                <c:pt idx="10">
                  <c:v>0</c:v>
                </c:pt>
                <c:pt idx="11">
                  <c:v>0</c:v>
                </c:pt>
                <c:pt idx="12">
                  <c:v>47.917000000000002</c:v>
                </c:pt>
                <c:pt idx="13">
                  <c:v>0</c:v>
                </c:pt>
                <c:pt idx="14">
                  <c:v>847.84</c:v>
                </c:pt>
                <c:pt idx="15">
                  <c:v>0</c:v>
                </c:pt>
                <c:pt idx="16">
                  <c:v>218.411</c:v>
                </c:pt>
                <c:pt idx="17">
                  <c:v>46.74</c:v>
                </c:pt>
                <c:pt idx="18">
                  <c:v>19.974</c:v>
                </c:pt>
                <c:pt idx="19">
                  <c:v>61.116</c:v>
                </c:pt>
                <c:pt idx="20">
                  <c:v>0</c:v>
                </c:pt>
                <c:pt idx="21">
                  <c:v>1785.873</c:v>
                </c:pt>
                <c:pt idx="22">
                  <c:v>7.27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328.14400000000001</c:v>
                </c:pt>
                <c:pt idx="28">
                  <c:v>22.974</c:v>
                </c:pt>
                <c:pt idx="29">
                  <c:v>138.21100000000001</c:v>
                </c:pt>
                <c:pt idx="30">
                  <c:v>12.215999999999999</c:v>
                </c:pt>
                <c:pt idx="31">
                  <c:v>6.7039999999999997</c:v>
                </c:pt>
                <c:pt idx="32">
                  <c:v>333.20699999999999</c:v>
                </c:pt>
                <c:pt idx="33">
                  <c:v>231.23899999999867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2-45D0-8163-F47F18AB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'2024'!$B$16:$M$16</c:f>
              <c:numCache>
                <c:formatCode>#,##0</c:formatCode>
                <c:ptCount val="12"/>
                <c:pt idx="0">
                  <c:v>171.17400000000001</c:v>
                </c:pt>
                <c:pt idx="1">
                  <c:v>141.738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E-4BD2-99F5-04D35964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4F-4F2E-9694-E0084FBF14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'2024'!$B$15:$M$15</c:f>
              <c:numCache>
                <c:formatCode>#,##0</c:formatCode>
                <c:ptCount val="12"/>
                <c:pt idx="0">
                  <c:v>5627.2970000000005</c:v>
                </c:pt>
                <c:pt idx="1">
                  <c:v>5219.4040000000005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F-4F2E-9694-E0084FBF14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60-44AE-8C37-ABDB2050B83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'2024'!$B$6:$M$6</c:f>
              <c:numCache>
                <c:formatCode>#,##0</c:formatCode>
                <c:ptCount val="12"/>
                <c:pt idx="0">
                  <c:v>6240.1289999999999</c:v>
                </c:pt>
                <c:pt idx="1">
                  <c:v>5087.451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4AE-8C37-ABDB2050B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F-4FCC-B504-1EA2D6C716CA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F-4FCC-B504-1EA2D6C716CA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F-4FCC-B504-1EA2D6C716CA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'2024'!$B$7:$M$7</c:f>
              <c:numCache>
                <c:formatCode>#,##0</c:formatCode>
                <c:ptCount val="12"/>
                <c:pt idx="0">
                  <c:v>120.79399999999987</c:v>
                </c:pt>
                <c:pt idx="1">
                  <c:v>-8.9480000000003201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F-4FCC-B504-1EA2D6C716CA}"/>
            </c:ext>
          </c:extLst>
        </c:ser>
        <c:ser>
          <c:idx val="1"/>
          <c:order val="1"/>
          <c:tx>
            <c:strRef>
              <c:f>'2024'!$A$8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F-4FCC-B504-1EA2D6C716CA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F-4FCC-B504-1EA2D6C716CA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F-4FCC-B504-1EA2D6C716CA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'2024'!$B$8:$M$8</c:f>
              <c:numCache>
                <c:formatCode>#,##0</c:formatCode>
                <c:ptCount val="12"/>
                <c:pt idx="0">
                  <c:v>518.52800000000002</c:v>
                </c:pt>
                <c:pt idx="1">
                  <c:v>-393.85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BF-4FCC-B504-1EA2D6C716CA}"/>
            </c:ext>
          </c:extLst>
        </c:ser>
        <c:ser>
          <c:idx val="2"/>
          <c:order val="2"/>
          <c:tx>
            <c:strRef>
              <c:f>'2024'!$A$9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F-4FCC-B504-1EA2D6C716CA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F-4FCC-B504-1EA2D6C716CA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F-4FCC-B504-1EA2D6C716CA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F-4FCC-B504-1EA2D6C716CA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'2024'!$B$9:$M$9</c:f>
              <c:numCache>
                <c:formatCode>#,##0</c:formatCode>
                <c:ptCount val="12"/>
                <c:pt idx="0">
                  <c:v>170.74199999999996</c:v>
                </c:pt>
                <c:pt idx="1">
                  <c:v>12.411000000000001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BF-4FCC-B504-1EA2D6C716CA}"/>
            </c:ext>
          </c:extLst>
        </c:ser>
        <c:ser>
          <c:idx val="3"/>
          <c:order val="3"/>
          <c:tx>
            <c:strRef>
              <c:f>'2024'!$A$10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BF-4FCC-B504-1EA2D6C716CA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'2024'!$B$10:$M$10</c:f>
              <c:numCache>
                <c:formatCode>#,##0</c:formatCode>
                <c:ptCount val="12"/>
                <c:pt idx="0">
                  <c:v>59.488</c:v>
                </c:pt>
                <c:pt idx="1">
                  <c:v>22.417999999999999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BF-4FCC-B504-1EA2D6C716CA}"/>
            </c:ext>
          </c:extLst>
        </c:ser>
        <c:ser>
          <c:idx val="4"/>
          <c:order val="4"/>
          <c:tx>
            <c:strRef>
              <c:f>'2024'!$A$11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BF-4FCC-B504-1EA2D6C716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'2024'!$A$14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'2024'!$B$14:$M$14</c:f>
              <c:numCache>
                <c:formatCode>#,##0</c:formatCode>
                <c:ptCount val="12"/>
                <c:pt idx="0">
                  <c:v>103.84400000000005</c:v>
                </c:pt>
                <c:pt idx="1">
                  <c:v>263.03199999999924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B-4BD8-A84D-38A735A04BD6}"/>
            </c:ext>
          </c:extLst>
        </c:ser>
        <c:ser>
          <c:idx val="1"/>
          <c:order val="1"/>
          <c:tx>
            <c:strRef>
              <c:f>'2024'!$A$13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'2024'!$B$13:$M$13</c:f>
              <c:numCache>
                <c:formatCode>#,##0</c:formatCode>
                <c:ptCount val="12"/>
                <c:pt idx="0">
                  <c:v>5721.6009999999997</c:v>
                </c:pt>
                <c:pt idx="1">
                  <c:v>5481.3770000000004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'2024'!$A$12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FFFB-4BD8-A84D-38A735A0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'2024'!$B$12:$M$12</c:f>
              <c:numCache>
                <c:formatCode>#,##0</c:formatCode>
                <c:ptCount val="12"/>
                <c:pt idx="0">
                  <c:v>5731.1409999999996</c:v>
                </c:pt>
                <c:pt idx="1">
                  <c:v>5482.4359999999997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'2024'!$A$18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79-441E-9537-95CEB45EB8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79-441E-9537-95CEB45EB8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79-441E-9537-95CEB45EB8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79-441E-9537-95CEB45EB8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179-441E-9537-95CEB45EB80A}"/>
              </c:ext>
            </c:extLst>
          </c:dPt>
          <c:dLbls>
            <c:dLbl>
              <c:idx val="0"/>
              <c:layout>
                <c:manualLayout>
                  <c:x val="5.4901943831420774E-3"/>
                  <c:y val="-3.5104219105609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9-441E-9537-95CEB45EB80A}"/>
                </c:ext>
              </c:extLst>
            </c:dLbl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9-441E-9537-95CEB45EB80A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9-441E-9537-95CEB45EB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'2024'!$B$18:$M$18</c:f>
              <c:numCache>
                <c:formatCode>#,##0</c:formatCode>
                <c:ptCount val="12"/>
                <c:pt idx="0">
                  <c:v>108.21899999999999</c:v>
                </c:pt>
                <c:pt idx="1">
                  <c:v>98.212999999999994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9-441E-9537-95CEB45EB80A}"/>
            </c:ext>
          </c:extLst>
        </c:ser>
        <c:ser>
          <c:idx val="1"/>
          <c:order val="1"/>
          <c:tx>
            <c:strRef>
              <c:f>'2024'!$A$19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'2024'!$B$19:$M$19</c:f>
              <c:numCache>
                <c:formatCode>#,##0</c:formatCode>
                <c:ptCount val="12"/>
                <c:pt idx="0">
                  <c:v>25.813999999999993</c:v>
                </c:pt>
                <c:pt idx="1">
                  <c:v>15.995000000000005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9-441E-9537-95CEB45EB80A}"/>
            </c:ext>
          </c:extLst>
        </c:ser>
        <c:ser>
          <c:idx val="2"/>
          <c:order val="2"/>
          <c:tx>
            <c:strRef>
              <c:f>'2024'!$A$17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79-441E-9537-95CEB45EB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'2024'!$B$20:$M$20</c:f>
              <c:numCache>
                <c:formatCode>#,##0</c:formatCode>
                <c:ptCount val="12"/>
                <c:pt idx="0">
                  <c:v>151.98500000000001</c:v>
                </c:pt>
                <c:pt idx="1">
                  <c:v>150.405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9-418C-B9B7-45BB1177A3FA}"/>
            </c:ext>
          </c:extLst>
        </c:ser>
        <c:ser>
          <c:idx val="1"/>
          <c:order val="1"/>
          <c:tx>
            <c:strRef>
              <c:f>'2024'!$A$21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18C-B9B7-45BB1177A3FA}"/>
            </c:ext>
          </c:extLst>
        </c:ser>
        <c:ser>
          <c:idx val="2"/>
          <c:order val="2"/>
          <c:tx>
            <c:strRef>
              <c:f>'2024'!$A$22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'2024'!$B$22:$M$22</c:f>
              <c:numCache>
                <c:formatCode>#,##0</c:formatCode>
                <c:ptCount val="12"/>
                <c:pt idx="0">
                  <c:v>104.45099999999999</c:v>
                </c:pt>
                <c:pt idx="1">
                  <c:v>100.797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9-418C-B9B7-45BB1177A3FA}"/>
            </c:ext>
          </c:extLst>
        </c:ser>
        <c:ser>
          <c:idx val="3"/>
          <c:order val="3"/>
          <c:tx>
            <c:strRef>
              <c:f>'2024'!$A$23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'2024'!$B$23:$M$23</c:f>
              <c:numCache>
                <c:formatCode>#,##0</c:formatCode>
                <c:ptCount val="12"/>
                <c:pt idx="0">
                  <c:v>4.3689999999999998</c:v>
                </c:pt>
                <c:pt idx="1">
                  <c:v>10.430999999999999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9-418C-B9B7-45BB1177A3FA}"/>
            </c:ext>
          </c:extLst>
        </c:ser>
        <c:ser>
          <c:idx val="4"/>
          <c:order val="4"/>
          <c:tx>
            <c:strRef>
              <c:f>'2024'!$A$24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9-418C-B9B7-45BB1177A3FA}"/>
            </c:ext>
          </c:extLst>
        </c:ser>
        <c:ser>
          <c:idx val="5"/>
          <c:order val="5"/>
          <c:tx>
            <c:strRef>
              <c:f>'2024'!$A$25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'2024'!$B$25:$M$25</c:f>
              <c:numCache>
                <c:formatCode>#,##0</c:formatCode>
                <c:ptCount val="12"/>
                <c:pt idx="0">
                  <c:v>746.77500000000009</c:v>
                </c:pt>
                <c:pt idx="1">
                  <c:v>593.98899999999992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9-418C-B9B7-45BB1177A3FA}"/>
            </c:ext>
          </c:extLst>
        </c:ser>
        <c:ser>
          <c:idx val="6"/>
          <c:order val="6"/>
          <c:tx>
            <c:strRef>
              <c:f>'2024'!$A$27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9-418C-B9B7-45BB1177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'2024'!$B$28:$M$28</c:f>
              <c:numCache>
                <c:formatCode>#,##0</c:formatCode>
                <c:ptCount val="12"/>
                <c:pt idx="0">
                  <c:v>51.722999999999999</c:v>
                </c:pt>
                <c:pt idx="1">
                  <c:v>47.917000000000002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2-42A2-916D-71D1BABE954D}"/>
            </c:ext>
          </c:extLst>
        </c:ser>
        <c:ser>
          <c:idx val="1"/>
          <c:order val="1"/>
          <c:tx>
            <c:strRef>
              <c:f>'2024'!$A$29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2-42A2-916D-71D1BABE954D}"/>
            </c:ext>
          </c:extLst>
        </c:ser>
        <c:ser>
          <c:idx val="2"/>
          <c:order val="2"/>
          <c:tx>
            <c:strRef>
              <c:f>'2024'!$A$30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'2024'!$B$30:$M$30</c:f>
              <c:numCache>
                <c:formatCode>#,##0</c:formatCode>
                <c:ptCount val="12"/>
                <c:pt idx="0">
                  <c:v>895.24099999999999</c:v>
                </c:pt>
                <c:pt idx="1">
                  <c:v>847.84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2-42A2-916D-71D1BABE9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3-420F-9647-F9C89A5D104C}"/>
            </c:ext>
          </c:extLst>
        </c:ser>
        <c:ser>
          <c:idx val="1"/>
          <c:order val="1"/>
          <c:tx>
            <c:strRef>
              <c:f>'2024'!$A$32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'2024'!$B$32:$M$32</c:f>
              <c:numCache>
                <c:formatCode>#,##0</c:formatCode>
                <c:ptCount val="12"/>
                <c:pt idx="0">
                  <c:v>245.779</c:v>
                </c:pt>
                <c:pt idx="1">
                  <c:v>218.411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3-420F-9647-F9C89A5D104C}"/>
            </c:ext>
          </c:extLst>
        </c:ser>
        <c:ser>
          <c:idx val="2"/>
          <c:order val="2"/>
          <c:tx>
            <c:strRef>
              <c:f>'2024'!$A$33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'2024'!$B$33:$M$33</c:f>
              <c:numCache>
                <c:formatCode>#,##0</c:formatCode>
                <c:ptCount val="12"/>
                <c:pt idx="0">
                  <c:v>35.982999999999997</c:v>
                </c:pt>
                <c:pt idx="1">
                  <c:v>46.74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3-420F-9647-F9C89A5D104C}"/>
            </c:ext>
          </c:extLst>
        </c:ser>
        <c:ser>
          <c:idx val="3"/>
          <c:order val="3"/>
          <c:tx>
            <c:strRef>
              <c:f>'2024'!$A$34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'2024'!$B$34:$M$34</c:f>
              <c:numCache>
                <c:formatCode>#,##0</c:formatCode>
                <c:ptCount val="12"/>
                <c:pt idx="0">
                  <c:v>13.041</c:v>
                </c:pt>
                <c:pt idx="1">
                  <c:v>19.974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53-420F-9647-F9C89A5D104C}"/>
            </c:ext>
          </c:extLst>
        </c:ser>
        <c:ser>
          <c:idx val="4"/>
          <c:order val="4"/>
          <c:tx>
            <c:strRef>
              <c:f>'2024'!$A$35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'2024'!$B$35:$M$35</c:f>
              <c:numCache>
                <c:formatCode>#,##0</c:formatCode>
                <c:ptCount val="12"/>
                <c:pt idx="0">
                  <c:v>63.41</c:v>
                </c:pt>
                <c:pt idx="1">
                  <c:v>61.116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53-420F-9647-F9C89A5D104C}"/>
            </c:ext>
          </c:extLst>
        </c:ser>
        <c:ser>
          <c:idx val="5"/>
          <c:order val="5"/>
          <c:tx>
            <c:strRef>
              <c:f>'2024'!$A$36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53-420F-9647-F9C89A5D104C}"/>
            </c:ext>
          </c:extLst>
        </c:ser>
        <c:ser>
          <c:idx val="6"/>
          <c:order val="6"/>
          <c:tx>
            <c:strRef>
              <c:f>'2024'!$A$37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'2024'!$B$37:$M$37</c:f>
              <c:numCache>
                <c:formatCode>#,##0</c:formatCode>
                <c:ptCount val="12"/>
                <c:pt idx="0">
                  <c:v>1932.47</c:v>
                </c:pt>
                <c:pt idx="1">
                  <c:v>1785.873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53-420F-9647-F9C89A5D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6-41AD-A555-7BC5DFDBDBF9}"/>
            </c:ext>
          </c:extLst>
        </c:ser>
        <c:ser>
          <c:idx val="1"/>
          <c:order val="1"/>
          <c:tx>
            <c:strRef>
              <c:f>'2024'!$A$38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301941331004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3-4239-A707-A5DADF1AD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'2024'!$B$38:$M$38</c:f>
              <c:numCache>
                <c:formatCode>#,##0</c:formatCode>
                <c:ptCount val="12"/>
                <c:pt idx="0">
                  <c:v>8.4109999999999996</c:v>
                </c:pt>
                <c:pt idx="1">
                  <c:v>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6-41AD-A555-7BC5DFDBDBF9}"/>
            </c:ext>
          </c:extLst>
        </c:ser>
        <c:ser>
          <c:idx val="2"/>
          <c:order val="2"/>
          <c:tx>
            <c:strRef>
              <c:f>'2024'!$A$39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'2024'!$B$39:$M$39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6-41AD-A555-7BC5DFDBD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C362803-F016-4F1F-9474-CD640EF0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D6034003-95A7-44EF-90B1-C2D9C8900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30981</xdr:colOff>
      <xdr:row>14</xdr:row>
      <xdr:rowOff>191221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8918E05B-0331-4E03-B740-666D897B0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460242</xdr:colOff>
      <xdr:row>14</xdr:row>
      <xdr:rowOff>195299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4E073480-E071-4CC7-A19A-FBDFC794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5287E04B-B03B-4142-9FBE-FF306E421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7" name="Gráfico 15">
          <a:extLst>
            <a:ext uri="{FF2B5EF4-FFF2-40B4-BE49-F238E27FC236}">
              <a16:creationId xmlns:a16="http://schemas.microsoft.com/office/drawing/2014/main" id="{8982ED69-E3E3-46F7-B990-39CD6399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8" name="Gráfico 16">
          <a:extLst>
            <a:ext uri="{FF2B5EF4-FFF2-40B4-BE49-F238E27FC236}">
              <a16:creationId xmlns:a16="http://schemas.microsoft.com/office/drawing/2014/main" id="{1BF0CEBB-37D6-497A-88C1-6028D6E71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9" name="Gráfico 17">
          <a:extLst>
            <a:ext uri="{FF2B5EF4-FFF2-40B4-BE49-F238E27FC236}">
              <a16:creationId xmlns:a16="http://schemas.microsoft.com/office/drawing/2014/main" id="{D96D8991-47E7-4555-A1BD-2F2A1C911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781050</xdr:colOff>
      <xdr:row>44</xdr:row>
      <xdr:rowOff>96199</xdr:rowOff>
    </xdr:from>
    <xdr:ext cx="4238211" cy="2656940"/>
    <xdr:graphicFrame macro="">
      <xdr:nvGraphicFramePr>
        <xdr:cNvPr id="10" name="Gráfico 18">
          <a:extLst>
            <a:ext uri="{FF2B5EF4-FFF2-40B4-BE49-F238E27FC236}">
              <a16:creationId xmlns:a16="http://schemas.microsoft.com/office/drawing/2014/main" id="{4DCBBE7B-E57E-4C3E-A559-4583BD52D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BB038CC-D89A-4551-8AC2-1FD91B20B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36A6EC59-FCBE-4E8C-8201-8FE49085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3" name="Gráfico 21">
          <a:extLst>
            <a:ext uri="{FF2B5EF4-FFF2-40B4-BE49-F238E27FC236}">
              <a16:creationId xmlns:a16="http://schemas.microsoft.com/office/drawing/2014/main" id="{D241EB8C-9922-4197-885C-0E4FAB21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4" name="Gráfico 19">
          <a:extLst>
            <a:ext uri="{FF2B5EF4-FFF2-40B4-BE49-F238E27FC236}">
              <a16:creationId xmlns:a16="http://schemas.microsoft.com/office/drawing/2014/main" id="{2CFFB7BE-4A78-444D-B987-46D14774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4D913FD-A7DA-431E-889D-A53B9B133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7DDCE491-F055-47DE-B3B4-EE132F74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B6B0324-DCFC-45E8-B982-89B1316F2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18" name="Gráfico 1">
          <a:extLst>
            <a:ext uri="{FF2B5EF4-FFF2-40B4-BE49-F238E27FC236}">
              <a16:creationId xmlns:a16="http://schemas.microsoft.com/office/drawing/2014/main" id="{28AC365A-6F9A-4657-AD6D-D4C52228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workbookViewId="0">
      <selection activeCell="L19" sqref="L19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92" t="s">
        <v>59</v>
      </c>
      <c r="C13" s="92"/>
      <c r="D13" s="92"/>
      <c r="E13" s="92"/>
      <c r="F13" s="92"/>
      <c r="G13" s="92"/>
      <c r="H13" s="9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92"/>
      <c r="C14" s="92"/>
      <c r="D14" s="92"/>
      <c r="E14" s="92"/>
      <c r="F14" s="92"/>
      <c r="G14" s="92"/>
      <c r="H14" s="9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93" t="str">
        <f>'2024'!AV3</f>
        <v>FEBRERO 2024</v>
      </c>
      <c r="C16" s="93"/>
      <c r="D16" s="93"/>
      <c r="E16" s="93"/>
      <c r="F16" s="93"/>
      <c r="G16" s="9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93"/>
      <c r="C17" s="93"/>
      <c r="D17" s="93"/>
      <c r="E17" s="93"/>
      <c r="F17" s="93"/>
      <c r="G17" s="9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93"/>
      <c r="C18" s="93"/>
      <c r="D18" s="93"/>
      <c r="E18" s="93"/>
      <c r="F18" s="93"/>
      <c r="G18" s="9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94" t="s">
        <v>63</v>
      </c>
      <c r="B34" s="94"/>
      <c r="C34" s="94"/>
      <c r="D34" s="94"/>
      <c r="E34" s="94"/>
      <c r="F34" s="94"/>
      <c r="G34" s="94"/>
      <c r="H34" s="9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J58" sqref="J58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250"/>
  <sheetViews>
    <sheetView showGridLines="0" zoomScale="70" zoomScaleNormal="70" workbookViewId="0">
      <selection activeCell="N5" sqref="N5:N49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0.25" customWidth="1"/>
    <col min="15" max="15" width="3.75" customWidth="1"/>
    <col min="27" max="27" width="13.125" customWidth="1"/>
    <col min="43" max="43" width="9.75" customWidth="1"/>
    <col min="44" max="47" width="18.875" style="1" customWidth="1"/>
    <col min="48" max="48" width="13.75" style="1" customWidth="1"/>
    <col min="49" max="53" width="18.875" style="1" customWidth="1"/>
  </cols>
  <sheetData>
    <row r="1" spans="1:53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Q1" s="53"/>
      <c r="AE1" s="53"/>
    </row>
    <row r="2" spans="1:53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3" x14ac:dyDescent="0.2">
      <c r="AV3" s="81"/>
    </row>
    <row r="4" spans="1:53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R6" s="32"/>
      <c r="AS6" s="32"/>
      <c r="AT6" s="32"/>
      <c r="AU6" s="83"/>
      <c r="AV6" s="84"/>
      <c r="AW6" s="32"/>
      <c r="AX6" s="32"/>
      <c r="AY6" s="32"/>
      <c r="AZ6" s="32"/>
      <c r="BA6" s="32"/>
    </row>
    <row r="7" spans="1:53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R7" s="32"/>
      <c r="AS7" s="32"/>
      <c r="AT7" s="32"/>
      <c r="AU7" s="83"/>
      <c r="AV7" s="84"/>
      <c r="AW7" s="32"/>
      <c r="AX7" s="32"/>
      <c r="AY7" s="32"/>
      <c r="AZ7" s="32"/>
      <c r="BA7" s="32"/>
    </row>
    <row r="8" spans="1:53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R8" s="32"/>
      <c r="AS8" s="32"/>
      <c r="AT8" s="32"/>
      <c r="AU8" s="83"/>
      <c r="AV8" s="84"/>
      <c r="AW8" s="32"/>
      <c r="AX8" s="32"/>
      <c r="AY8" s="32"/>
      <c r="AZ8" s="32"/>
      <c r="BA8" s="32"/>
    </row>
    <row r="9" spans="1:53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R9" s="32"/>
      <c r="AS9" s="32"/>
      <c r="AT9" s="32"/>
      <c r="AU9" s="32"/>
      <c r="AV9" s="84"/>
      <c r="AW9" s="32"/>
      <c r="AX9" s="32"/>
      <c r="AY9" s="32"/>
      <c r="AZ9" s="32"/>
      <c r="BA9" s="32"/>
    </row>
    <row r="10" spans="1:53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R10" s="32"/>
      <c r="AS10" s="32"/>
      <c r="AT10" s="32"/>
      <c r="AU10" s="32"/>
      <c r="AV10" s="84"/>
      <c r="AW10" s="32"/>
      <c r="AX10" s="32"/>
      <c r="AY10" s="32"/>
      <c r="AZ10" s="32"/>
      <c r="BA10" s="32"/>
    </row>
    <row r="11" spans="1:53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R11" s="32"/>
      <c r="AS11" s="32"/>
      <c r="AT11" s="32"/>
      <c r="AU11" s="83"/>
      <c r="AV11" s="84"/>
      <c r="AW11" s="32"/>
      <c r="AX11" s="32"/>
      <c r="AY11" s="32"/>
      <c r="AZ11" s="32"/>
      <c r="BA11" s="32"/>
    </row>
    <row r="12" spans="1:53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85"/>
      <c r="AS12" s="85"/>
      <c r="AT12" s="85"/>
      <c r="AU12" s="83"/>
      <c r="AV12" s="86"/>
      <c r="AW12" s="85"/>
      <c r="AX12" s="85"/>
      <c r="AY12" s="85"/>
      <c r="AZ12" s="85"/>
      <c r="BA12" s="85"/>
    </row>
    <row r="13" spans="1:53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R13" s="32"/>
      <c r="AS13" s="32"/>
      <c r="AT13" s="32"/>
      <c r="AU13" s="83"/>
      <c r="AV13" s="84"/>
      <c r="AW13" s="32"/>
      <c r="AX13" s="32"/>
      <c r="AY13" s="32"/>
      <c r="AZ13" s="32"/>
      <c r="BA13" s="32"/>
    </row>
    <row r="14" spans="1:53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R14" s="32"/>
      <c r="AS14" s="32"/>
      <c r="AT14" s="32"/>
      <c r="AU14" s="83"/>
      <c r="AV14" s="84"/>
      <c r="AW14" s="32"/>
      <c r="AX14" s="32"/>
      <c r="AY14" s="32"/>
      <c r="AZ14" s="32"/>
      <c r="BA14" s="32"/>
    </row>
    <row r="15" spans="1:53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U15" s="83"/>
      <c r="AV15" s="84"/>
    </row>
    <row r="16" spans="1:53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7"/>
      <c r="AV17" s="88"/>
      <c r="AW17" s="88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7"/>
      <c r="AV18" s="88"/>
      <c r="AW18" s="88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7"/>
      <c r="AV19" s="88"/>
      <c r="AW19" s="88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7"/>
      <c r="AV20" s="88"/>
      <c r="AW20" s="88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7"/>
      <c r="AV21" s="88"/>
      <c r="AW21" s="88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7"/>
      <c r="AV22" s="88"/>
      <c r="AW22" s="88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7"/>
      <c r="AV23" s="88"/>
      <c r="AW23" s="88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7"/>
      <c r="AV24" s="88"/>
      <c r="AW24" s="88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7"/>
      <c r="AV25" s="88"/>
      <c r="AW25" s="88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7"/>
      <c r="AV26" s="88"/>
      <c r="AW26" s="88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7"/>
      <c r="AV27" s="88"/>
      <c r="AW27" s="88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7"/>
      <c r="AV28" s="88"/>
      <c r="AW28" s="88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7"/>
      <c r="AV29" s="88"/>
      <c r="AW29" s="88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7"/>
      <c r="AV30" s="88"/>
      <c r="AW30" s="88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7"/>
      <c r="AV31" s="88"/>
      <c r="AW31" s="88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7"/>
      <c r="AV32" s="88"/>
      <c r="AW32" s="88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7"/>
      <c r="AV33" s="88"/>
      <c r="AW33" s="88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7"/>
      <c r="AV34" s="88"/>
      <c r="AW34" s="88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7"/>
      <c r="AV35" s="88"/>
      <c r="AW35" s="88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7"/>
      <c r="AV36" s="88"/>
      <c r="AW36" s="88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7"/>
      <c r="AV37" s="88"/>
      <c r="AW37" s="88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7"/>
      <c r="AV38" s="88"/>
      <c r="AW38" s="88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7"/>
      <c r="AV39" s="88"/>
      <c r="AW39" s="88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7"/>
      <c r="AV40" s="88"/>
      <c r="AW40" s="88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7"/>
      <c r="AV41" s="88"/>
      <c r="AW41" s="88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7"/>
      <c r="AV42" s="88"/>
      <c r="AW42" s="88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7"/>
      <c r="AV43" s="88"/>
      <c r="AW43" s="88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7"/>
      <c r="AV44" s="88"/>
      <c r="AW44" s="88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7"/>
      <c r="AV45" s="88"/>
      <c r="AW45" s="88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7"/>
      <c r="AV46" s="88"/>
      <c r="AW46" s="88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7"/>
      <c r="AV47" s="88"/>
      <c r="AW47" s="88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7"/>
      <c r="AV48" s="88"/>
      <c r="AW48" s="88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7"/>
      <c r="AV49" s="88"/>
      <c r="AW49" s="88"/>
    </row>
    <row r="50" spans="1:49" x14ac:dyDescent="0.2">
      <c r="F50" s="41"/>
      <c r="AU50" s="87"/>
      <c r="AW50" s="88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C67-58B8-4005-8104-43BA27B6D527}">
  <sheetPr>
    <pageSetUpPr fitToPage="1"/>
  </sheetPr>
  <dimension ref="A1:BI250"/>
  <sheetViews>
    <sheetView showGridLines="0" tabSelected="1" zoomScale="70" zoomScaleNormal="70" workbookViewId="0">
      <selection activeCell="AS37" sqref="AS37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1"/>
    <col min="46" max="46" width="11.5" style="71" customWidth="1"/>
    <col min="47" max="47" width="36.75" style="71" customWidth="1"/>
    <col min="48" max="48" width="12.625" style="71" customWidth="1"/>
    <col min="49" max="49" width="11.5" style="71" customWidth="1"/>
    <col min="50" max="50" width="11.5" style="1"/>
    <col min="51" max="51" width="11.5" style="71"/>
    <col min="52" max="61" width="11.5" style="1"/>
  </cols>
  <sheetData>
    <row r="1" spans="1:61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Q1" s="53" t="str">
        <f>"MOVIMIENTO DE CRUDOS Y OBTENCIÓN DE PRODUCTOS PETROLÍFEROS - " &amp;AV3</f>
        <v>MOVIMIENTO DE CRUDOS Y OBTENCIÓN DE PRODUCTOS PETROLÍFEROS - FEBRERO 2024</v>
      </c>
      <c r="AE1" s="53" t="s">
        <v>62</v>
      </c>
    </row>
    <row r="2" spans="1:6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61" x14ac:dyDescent="0.2">
      <c r="AV3" s="72" t="str">
        <f>UPPER(TEXT(MAXA(B4:M4),"mmmm aaaa"))</f>
        <v>FEBRERO 2024</v>
      </c>
    </row>
    <row r="4" spans="1:61" s="16" customFormat="1" ht="21" customHeight="1" x14ac:dyDescent="0.2">
      <c r="A4" s="11" t="s">
        <v>13</v>
      </c>
      <c r="B4" s="14">
        <v>45292</v>
      </c>
      <c r="C4" s="13">
        <v>45323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 t="s">
        <v>61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82"/>
      <c r="AT4" s="73"/>
      <c r="AU4" s="73"/>
      <c r="AV4" s="73"/>
      <c r="AW4" s="73"/>
      <c r="AX4" s="82"/>
      <c r="AY4" s="73"/>
      <c r="AZ4" s="82"/>
      <c r="BA4" s="82"/>
      <c r="BB4" s="82"/>
      <c r="BC4" s="82"/>
      <c r="BD4" s="82"/>
      <c r="BE4" s="82"/>
      <c r="BF4" s="82"/>
      <c r="BG4" s="82"/>
      <c r="BH4" s="82"/>
      <c r="BI4" s="82"/>
    </row>
    <row r="5" spans="1:61" s="21" customFormat="1" ht="21" customHeight="1" x14ac:dyDescent="0.2">
      <c r="A5" s="17" t="s">
        <v>0</v>
      </c>
      <c r="B5" s="90">
        <v>0</v>
      </c>
      <c r="C5" s="91">
        <v>7.5999999999999998E-2</v>
      </c>
      <c r="D5" s="19"/>
      <c r="E5" s="19"/>
      <c r="F5" s="19"/>
      <c r="G5" s="19"/>
      <c r="H5" s="19"/>
      <c r="I5" s="45"/>
      <c r="J5" s="19"/>
      <c r="K5" s="19"/>
      <c r="L5" s="19"/>
      <c r="M5" s="19"/>
      <c r="N5" s="20">
        <f>SUM(B5:M5)</f>
        <v>7.5999999999999998E-2</v>
      </c>
      <c r="P5" s="34"/>
      <c r="Q5" s="34"/>
      <c r="R5" s="47"/>
      <c r="AS5" s="32"/>
      <c r="AT5" s="74"/>
      <c r="AU5" s="74"/>
      <c r="AV5" s="74"/>
      <c r="AW5" s="74"/>
      <c r="AX5" s="32"/>
      <c r="AY5" s="74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s="21" customFormat="1" ht="21" customHeight="1" x14ac:dyDescent="0.2">
      <c r="A6" s="22" t="s">
        <v>1</v>
      </c>
      <c r="B6" s="23">
        <v>6240.1289999999999</v>
      </c>
      <c r="C6" s="24">
        <v>5087.451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>SUM(B6:M6)</f>
        <v>11327.58</v>
      </c>
      <c r="P6" s="34"/>
      <c r="Q6" s="34"/>
      <c r="R6" s="47"/>
      <c r="AS6" s="32"/>
      <c r="AT6" s="74"/>
      <c r="AU6" s="75" t="str">
        <f>A6</f>
        <v>IMPORTACIONES DE CRUDO</v>
      </c>
      <c r="AV6" s="76">
        <f>HLOOKUP(MAXA(B4:M4),$B$4:$M$6,3,FALSE)</f>
        <v>5087.451</v>
      </c>
      <c r="AW6" s="74"/>
      <c r="AX6" s="32"/>
      <c r="AY6" s="74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21" customFormat="1" ht="21" customHeight="1" x14ac:dyDescent="0.2">
      <c r="A7" s="26" t="s">
        <v>2</v>
      </c>
      <c r="B7" s="27">
        <v>120.79399999999987</v>
      </c>
      <c r="C7" s="28">
        <v>-8.9480000000003201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>
        <f t="shared" ref="N7:N49" si="0">SUM(B7:M7)</f>
        <v>111.84599999999955</v>
      </c>
      <c r="P7" s="34"/>
      <c r="Q7" s="34"/>
      <c r="R7" s="47"/>
      <c r="AS7" s="32"/>
      <c r="AT7" s="74"/>
      <c r="AU7" s="75" t="str">
        <f>A12</f>
        <v>TOTAL PROCESADO</v>
      </c>
      <c r="AV7" s="76">
        <f>HLOOKUP(MAXA(B4:M4),$B$4:$M$12,9,FALSE)</f>
        <v>5482.4359999999997</v>
      </c>
      <c r="AW7" s="74"/>
      <c r="AX7" s="32"/>
      <c r="AY7" s="74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 s="21" customFormat="1" ht="21" customHeight="1" x14ac:dyDescent="0.2">
      <c r="A8" s="26" t="s">
        <v>3</v>
      </c>
      <c r="B8" s="27">
        <v>518.52800000000002</v>
      </c>
      <c r="C8" s="28">
        <v>-393.85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9">
        <f t="shared" si="0"/>
        <v>124.678</v>
      </c>
      <c r="P8" s="34"/>
      <c r="Q8" s="34"/>
      <c r="R8" s="47"/>
      <c r="AS8" s="32"/>
      <c r="AT8" s="74"/>
      <c r="AU8" s="75" t="str">
        <f>A15</f>
        <v>PRODUCCION BRUTA DE REFINERIA</v>
      </c>
      <c r="AV8" s="76">
        <f>HLOOKUP(MAXA(B4:M4),$B$4:$M$15,12,FALSE)</f>
        <v>5219.4040000000005</v>
      </c>
      <c r="AW8" s="74"/>
      <c r="AX8" s="32"/>
      <c r="AY8" s="74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s="21" customFormat="1" ht="21" customHeight="1" x14ac:dyDescent="0.2">
      <c r="A9" s="26" t="s">
        <v>4</v>
      </c>
      <c r="B9" s="27">
        <v>170.74199999999996</v>
      </c>
      <c r="C9" s="28">
        <v>12.411000000000001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9">
        <f t="shared" si="0"/>
        <v>183.15299999999996</v>
      </c>
      <c r="P9" s="34"/>
      <c r="Q9" s="34"/>
      <c r="R9" s="47"/>
      <c r="AS9" s="32"/>
      <c r="AT9" s="74"/>
      <c r="AU9" s="74"/>
      <c r="AV9" s="76"/>
      <c r="AW9" s="74"/>
      <c r="AX9" s="32"/>
      <c r="AY9" s="74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s="21" customFormat="1" ht="21" customHeight="1" x14ac:dyDescent="0.2">
      <c r="A10" s="26" t="s">
        <v>5</v>
      </c>
      <c r="B10" s="27">
        <v>59.488</v>
      </c>
      <c r="C10" s="28">
        <v>22.417999999999999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>
        <f t="shared" si="0"/>
        <v>81.906000000000006</v>
      </c>
      <c r="P10" s="34"/>
      <c r="Q10" s="34"/>
      <c r="R10" s="47"/>
      <c r="AS10" s="32"/>
      <c r="AT10" s="74"/>
      <c r="AU10" s="74"/>
      <c r="AV10" s="76"/>
      <c r="AW10" s="74"/>
      <c r="AX10" s="32"/>
      <c r="AY10" s="74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 s="21" customFormat="1" ht="21" customHeight="1" x14ac:dyDescent="0.2">
      <c r="A11" s="26" t="s">
        <v>6</v>
      </c>
      <c r="B11" s="27">
        <v>0</v>
      </c>
      <c r="C11" s="28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35"/>
      <c r="Q11" s="55"/>
      <c r="R11" s="47"/>
      <c r="AS11" s="32"/>
      <c r="AT11" s="74"/>
      <c r="AU11" s="75" t="str">
        <f>A7</f>
        <v>IMPORTACIONES DE PROD. INTERMEDIOS Y MAT. AUXILIARES</v>
      </c>
      <c r="AV11" s="76">
        <f>HLOOKUP(MAXA(B4:M4),$B$4:$M$15,4,FALSE)</f>
        <v>-8.9480000000003201</v>
      </c>
      <c r="AW11" s="74"/>
      <c r="AX11" s="32"/>
      <c r="AY11" s="74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s="31" customFormat="1" ht="21" customHeight="1" x14ac:dyDescent="0.2">
      <c r="A12" s="22" t="s">
        <v>7</v>
      </c>
      <c r="B12" s="24">
        <v>5731.1409999999996</v>
      </c>
      <c r="C12" s="24">
        <v>5482.4359999999997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>SUM(B12:M12)</f>
        <v>11213.576999999999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85"/>
      <c r="AT12" s="77"/>
      <c r="AU12" s="75" t="str">
        <f>A8</f>
        <v>VARIACION DE STOCKS DE CRUDOS (Ef-Ei)</v>
      </c>
      <c r="AV12" s="78">
        <f>HLOOKUP(MAXA(B4:M4),$B$4:$M$15,5,FALSE)</f>
        <v>-393.85</v>
      </c>
      <c r="AW12" s="77"/>
      <c r="AX12" s="85"/>
      <c r="AY12" s="77"/>
      <c r="AZ12" s="85"/>
      <c r="BA12" s="85"/>
      <c r="BB12" s="85"/>
      <c r="BC12" s="85"/>
      <c r="BD12" s="85"/>
      <c r="BE12" s="85"/>
      <c r="BF12" s="85"/>
      <c r="BG12" s="85"/>
      <c r="BH12" s="85"/>
      <c r="BI12" s="85"/>
    </row>
    <row r="13" spans="1:61" s="21" customFormat="1" ht="21" customHeight="1" x14ac:dyDescent="0.2">
      <c r="A13" s="26" t="s">
        <v>12</v>
      </c>
      <c r="B13" s="27">
        <v>5721.6009999999997</v>
      </c>
      <c r="C13" s="28">
        <v>5481.3770000000004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si="0"/>
        <v>11202.977999999999</v>
      </c>
      <c r="P13" s="34"/>
      <c r="Q13" s="34"/>
      <c r="R13" s="47"/>
      <c r="AS13" s="32"/>
      <c r="AT13" s="74"/>
      <c r="AU13" s="75" t="str">
        <f>A9</f>
        <v>APROVISIONAMIENTO DE PROD. INTERMEDIOS Y MAT. AUXILIARES</v>
      </c>
      <c r="AV13" s="76">
        <f>HLOOKUP(MAXA(B4:M4),$B$4:$M$15,6,FALSE)</f>
        <v>12.411000000000001</v>
      </c>
      <c r="AW13" s="74"/>
      <c r="AX13" s="32"/>
      <c r="AY13" s="74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s="21" customFormat="1" ht="21" customHeight="1" x14ac:dyDescent="0.2">
      <c r="A14" s="26" t="s">
        <v>8</v>
      </c>
      <c r="B14" s="27">
        <v>103.84400000000005</v>
      </c>
      <c r="C14" s="28">
        <v>263.03199999999924</v>
      </c>
      <c r="D14" s="28"/>
      <c r="E14" s="28"/>
      <c r="F14" s="28"/>
      <c r="G14" s="28"/>
      <c r="H14" s="28"/>
      <c r="I14" s="46"/>
      <c r="J14" s="28"/>
      <c r="K14" s="28"/>
      <c r="L14" s="28"/>
      <c r="M14" s="28"/>
      <c r="N14" s="29">
        <f t="shared" si="0"/>
        <v>366.87599999999929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32"/>
      <c r="AT14" s="74"/>
      <c r="AU14" s="75" t="str">
        <f>A10</f>
        <v>PRODUCTOS TRASPASADOS Y BACKFLOWS</v>
      </c>
      <c r="AV14" s="76">
        <f>HLOOKUP(MAXA(B4:M4),$B$4:$M$15,7,FALSE)</f>
        <v>22.417999999999999</v>
      </c>
      <c r="AW14" s="74"/>
      <c r="AX14" s="32"/>
      <c r="AY14" s="74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 s="32" customFormat="1" ht="21" customHeight="1" x14ac:dyDescent="0.2">
      <c r="A15" s="22" t="s">
        <v>9</v>
      </c>
      <c r="B15" s="24">
        <v>5627.2970000000005</v>
      </c>
      <c r="C15" s="24">
        <f>SUM(C16:C49)</f>
        <v>5219.4040000000005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10846.701000000001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T15" s="74"/>
      <c r="AU15" s="75" t="str">
        <f>A11</f>
        <v>CONSUMO DIRECTO DE CRUDO</v>
      </c>
      <c r="AV15" s="76">
        <f>HLOOKUP(MAXA(B4:M4),$B$4:$M$15,8,FALSE)</f>
        <v>0</v>
      </c>
      <c r="AW15" s="74"/>
      <c r="AY15" s="74"/>
    </row>
    <row r="16" spans="1:61" ht="16.5" customHeight="1" x14ac:dyDescent="0.2">
      <c r="A16" s="9" t="s">
        <v>14</v>
      </c>
      <c r="B16" s="3">
        <v>171.17400000000001</v>
      </c>
      <c r="C16" s="2">
        <v>141.738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4">
        <f t="shared" si="0"/>
        <v>312.91200000000003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79" t="str">
        <f>A16</f>
        <v>Gas Refinería</v>
      </c>
      <c r="AV17" s="80">
        <f>HLOOKUP(MAXA(B4:M4),$B$4:$M$49,13,FALSE)</f>
        <v>141.738</v>
      </c>
      <c r="AW17" s="80"/>
    </row>
    <row r="18" spans="1:49" ht="16.5" customHeight="1" x14ac:dyDescent="0.2">
      <c r="A18" s="9" t="s">
        <v>16</v>
      </c>
      <c r="B18" s="3">
        <v>108.21899999999999</v>
      </c>
      <c r="C18" s="2">
        <v>98.212999999999994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4">
        <f t="shared" si="0"/>
        <v>206.43199999999999</v>
      </c>
      <c r="AU18" s="79" t="str">
        <f t="shared" ref="AU18:AU50" si="1">A17</f>
        <v>Etano</v>
      </c>
      <c r="AV18" s="80">
        <f>HLOOKUP(MAXA(B4:M4),$B$4:$M$49,14,FALSE)</f>
        <v>0</v>
      </c>
      <c r="AW18" s="80"/>
    </row>
    <row r="19" spans="1:49" ht="16.5" customHeight="1" x14ac:dyDescent="0.2">
      <c r="A19" s="9" t="s">
        <v>17</v>
      </c>
      <c r="B19" s="3">
        <v>25.813999999999993</v>
      </c>
      <c r="C19" s="2">
        <v>15.995000000000005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4">
        <f t="shared" si="0"/>
        <v>41.808999999999997</v>
      </c>
      <c r="AU19" s="79" t="str">
        <f t="shared" si="1"/>
        <v>Butano</v>
      </c>
      <c r="AV19" s="80">
        <f>HLOOKUP(MAXA(B4:M4),$B$4:$M$49,15,FALSE)</f>
        <v>98.212999999999994</v>
      </c>
      <c r="AW19" s="80"/>
    </row>
    <row r="20" spans="1:49" ht="16.5" customHeight="1" x14ac:dyDescent="0.2">
      <c r="A20" s="9" t="s">
        <v>18</v>
      </c>
      <c r="B20" s="3">
        <v>151.98500000000001</v>
      </c>
      <c r="C20" s="2">
        <v>150.405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4">
        <f t="shared" si="0"/>
        <v>302.39</v>
      </c>
      <c r="AU20" s="79" t="str">
        <f t="shared" si="1"/>
        <v>Propano</v>
      </c>
      <c r="AV20" s="80">
        <f>HLOOKUP(MAXA(B4:M4),$B$4:$M$49,16,FALSE)</f>
        <v>15.995000000000005</v>
      </c>
      <c r="AW20" s="80"/>
    </row>
    <row r="21" spans="1:49" ht="16.5" customHeight="1" x14ac:dyDescent="0.2">
      <c r="A21" s="9" t="s">
        <v>19</v>
      </c>
      <c r="B21" s="3">
        <v>0</v>
      </c>
      <c r="C21" s="2"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  <c r="AU21" s="79" t="str">
        <f t="shared" si="1"/>
        <v>Nafta</v>
      </c>
      <c r="AV21" s="80">
        <f>HLOOKUP(MAXA(B4:M4),$B$4:$M$49,17,FALSE)</f>
        <v>150.405</v>
      </c>
      <c r="AW21" s="80"/>
    </row>
    <row r="22" spans="1:49" ht="16.5" customHeight="1" x14ac:dyDescent="0.2">
      <c r="A22" s="9" t="s">
        <v>20</v>
      </c>
      <c r="B22" s="3">
        <v>104.45099999999999</v>
      </c>
      <c r="C22" s="2">
        <v>100.797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4">
        <f t="shared" si="0"/>
        <v>205.24799999999999</v>
      </c>
      <c r="AU22" s="79" t="str">
        <f t="shared" si="1"/>
        <v>Gasolina 97 I.O.</v>
      </c>
      <c r="AV22" s="80">
        <f>HLOOKUP(MAXA(B4:M4),$B$4:$M$49,18,FALSE)</f>
        <v>0</v>
      </c>
      <c r="AW22" s="80"/>
    </row>
    <row r="23" spans="1:49" ht="16.5" customHeight="1" x14ac:dyDescent="0.2">
      <c r="A23" s="9" t="s">
        <v>21</v>
      </c>
      <c r="B23" s="3">
        <v>4.3689999999999998</v>
      </c>
      <c r="C23" s="2">
        <v>10.430999999999999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4">
        <f t="shared" si="0"/>
        <v>14.799999999999999</v>
      </c>
      <c r="AU23" s="79" t="str">
        <f t="shared" si="1"/>
        <v>Gasolina 95 I.O.</v>
      </c>
      <c r="AV23" s="80">
        <f>HLOOKUP(MAXA(B4:M4),$B$4:$M$49,19,FALSE)</f>
        <v>100.797</v>
      </c>
      <c r="AW23" s="80"/>
    </row>
    <row r="24" spans="1:49" ht="16.5" customHeight="1" x14ac:dyDescent="0.2">
      <c r="A24" s="9" t="s">
        <v>22</v>
      </c>
      <c r="B24" s="3">
        <v>0</v>
      </c>
      <c r="C24" s="2"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4">
        <f t="shared" si="0"/>
        <v>0</v>
      </c>
      <c r="AU24" s="79" t="str">
        <f t="shared" si="1"/>
        <v>Gasolina 98 I.O.</v>
      </c>
      <c r="AV24" s="80">
        <f>HLOOKUP(MAXA(B4:M4),$B$4:$M$49,20,FALSE)</f>
        <v>10.430999999999999</v>
      </c>
      <c r="AW24" s="80"/>
    </row>
    <row r="25" spans="1:49" ht="16.5" customHeight="1" x14ac:dyDescent="0.2">
      <c r="A25" s="9" t="s">
        <v>23</v>
      </c>
      <c r="B25" s="3">
        <v>746.77500000000009</v>
      </c>
      <c r="C25" s="2">
        <v>593.98899999999992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4">
        <f t="shared" si="0"/>
        <v>1340.7640000000001</v>
      </c>
      <c r="AU25" s="79" t="str">
        <f t="shared" si="1"/>
        <v>Gasolina de Aviación</v>
      </c>
      <c r="AV25" s="80">
        <f>HLOOKUP(MAXA(B4:M4),$B$4:$M$49,21,FALSE)</f>
        <v>0</v>
      </c>
      <c r="AW25" s="80"/>
    </row>
    <row r="26" spans="1:49" ht="16.5" customHeight="1" x14ac:dyDescent="0.2">
      <c r="A26" s="9" t="s">
        <v>24</v>
      </c>
      <c r="B26" s="3">
        <v>0</v>
      </c>
      <c r="C26" s="2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4">
        <f t="shared" si="0"/>
        <v>0</v>
      </c>
      <c r="AU26" s="79" t="str">
        <f t="shared" si="1"/>
        <v>Otras Gasolinas</v>
      </c>
      <c r="AV26" s="80">
        <f>HLOOKUP(MAXA(B4:M4),$B$4:$M$49,22,FALSE)</f>
        <v>593.98899999999992</v>
      </c>
      <c r="AW26" s="80"/>
    </row>
    <row r="27" spans="1:49" ht="16.5" customHeight="1" x14ac:dyDescent="0.2">
      <c r="A27" s="9" t="s">
        <v>25</v>
      </c>
      <c r="B27" s="3">
        <v>0</v>
      </c>
      <c r="C27" s="2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4">
        <f t="shared" si="0"/>
        <v>0</v>
      </c>
      <c r="AU27" s="79" t="str">
        <f t="shared" si="1"/>
        <v>Bioetanol</v>
      </c>
      <c r="AV27" s="80">
        <f>HLOOKUP(MAXA(B4:M4),$B$4:$M$49,23,FALSE)</f>
        <v>0</v>
      </c>
      <c r="AW27" s="80"/>
    </row>
    <row r="28" spans="1:49" ht="16.5" customHeight="1" x14ac:dyDescent="0.2">
      <c r="A28" s="9" t="s">
        <v>26</v>
      </c>
      <c r="B28" s="3">
        <v>51.722999999999999</v>
      </c>
      <c r="C28" s="2">
        <v>47.917000000000002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4">
        <f t="shared" si="0"/>
        <v>99.64</v>
      </c>
      <c r="AU28" s="79" t="str">
        <f t="shared" si="1"/>
        <v>Gasolinas Mezcla</v>
      </c>
      <c r="AV28" s="80">
        <f>HLOOKUP(MAXA(B4:M4),$B$4:$M$49,24,FALSE)</f>
        <v>0</v>
      </c>
      <c r="AW28" s="80"/>
    </row>
    <row r="29" spans="1:49" ht="33" customHeight="1" x14ac:dyDescent="0.2">
      <c r="A29" s="9" t="s">
        <v>27</v>
      </c>
      <c r="B29" s="3">
        <v>0</v>
      </c>
      <c r="C29" s="2"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4">
        <f t="shared" si="0"/>
        <v>0</v>
      </c>
      <c r="AU29" s="79" t="str">
        <f t="shared" si="1"/>
        <v>Queroseno aviac. Jet A1</v>
      </c>
      <c r="AV29" s="80">
        <f>HLOOKUP(MAXA(B4:M4),$B$4:$M$49,25,FALSE)</f>
        <v>47.917000000000002</v>
      </c>
      <c r="AW29" s="80"/>
    </row>
    <row r="30" spans="1:49" ht="21.75" customHeight="1" x14ac:dyDescent="0.2">
      <c r="A30" s="9" t="s">
        <v>28</v>
      </c>
      <c r="B30" s="3">
        <v>895.24099999999999</v>
      </c>
      <c r="C30" s="2">
        <v>847.84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4">
        <f t="shared" si="0"/>
        <v>1743.0810000000001</v>
      </c>
      <c r="AU30" s="79" t="str">
        <f t="shared" si="1"/>
        <v>Queroseno aviac. Jet A2</v>
      </c>
      <c r="AV30" s="80">
        <f>HLOOKUP(MAXA(B4:M4),$B$4:$M$49,26,FALSE)</f>
        <v>0</v>
      </c>
      <c r="AW30" s="80"/>
    </row>
    <row r="31" spans="1:49" ht="16.5" customHeight="1" x14ac:dyDescent="0.2">
      <c r="A31" s="9" t="s">
        <v>29</v>
      </c>
      <c r="B31" s="3">
        <v>0</v>
      </c>
      <c r="C31" s="2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4">
        <f t="shared" si="0"/>
        <v>0</v>
      </c>
      <c r="AU31" s="79" t="str">
        <f t="shared" si="1"/>
        <v>Otros Querosenos</v>
      </c>
      <c r="AV31" s="80">
        <f>HLOOKUP(MAXA(B4:M4),$B$4:$M$49,27,FALSE)</f>
        <v>847.84</v>
      </c>
      <c r="AW31" s="80"/>
    </row>
    <row r="32" spans="1:49" ht="16.5" customHeight="1" x14ac:dyDescent="0.2">
      <c r="A32" s="9" t="s">
        <v>30</v>
      </c>
      <c r="B32" s="3">
        <v>245.779</v>
      </c>
      <c r="C32" s="2">
        <v>218.411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4">
        <f t="shared" si="0"/>
        <v>464.19</v>
      </c>
      <c r="AU32" s="79" t="str">
        <f t="shared" si="1"/>
        <v>Gasóleo A</v>
      </c>
      <c r="AV32" s="80">
        <f>HLOOKUP(MAXA(B4:M4),$B$4:$M$49,28,FALSE)</f>
        <v>0</v>
      </c>
      <c r="AW32" s="80"/>
    </row>
    <row r="33" spans="1:49" ht="16.5" customHeight="1" x14ac:dyDescent="0.2">
      <c r="A33" s="9" t="s">
        <v>31</v>
      </c>
      <c r="B33" s="3">
        <v>35.982999999999997</v>
      </c>
      <c r="C33" s="2">
        <v>46.74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4">
        <f t="shared" si="0"/>
        <v>82.722999999999999</v>
      </c>
      <c r="AU33" s="79" t="str">
        <f t="shared" si="1"/>
        <v>Gasóleo A 10 PPM</v>
      </c>
      <c r="AV33" s="80">
        <f>HLOOKUP(MAXA(B4:M4),$B$4:$M$49,29,FALSE)</f>
        <v>218.411</v>
      </c>
      <c r="AW33" s="80"/>
    </row>
    <row r="34" spans="1:49" ht="16.5" customHeight="1" x14ac:dyDescent="0.2">
      <c r="A34" s="9" t="s">
        <v>32</v>
      </c>
      <c r="B34" s="3">
        <v>13.041</v>
      </c>
      <c r="C34" s="2">
        <v>19.974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4">
        <f t="shared" si="0"/>
        <v>33.015000000000001</v>
      </c>
      <c r="AU34" s="79" t="str">
        <f t="shared" si="1"/>
        <v>Gasóleo B</v>
      </c>
      <c r="AV34" s="80">
        <f>HLOOKUP(MAXA(B4:M4),$B$4:$M$49,30,FALSE)</f>
        <v>46.74</v>
      </c>
      <c r="AW34" s="80"/>
    </row>
    <row r="35" spans="1:49" ht="16.5" customHeight="1" x14ac:dyDescent="0.2">
      <c r="A35" s="9" t="s">
        <v>33</v>
      </c>
      <c r="B35" s="3">
        <v>63.41</v>
      </c>
      <c r="C35" s="2">
        <v>61.116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4">
        <f t="shared" si="0"/>
        <v>124.526</v>
      </c>
      <c r="AU35" s="79" t="str">
        <f t="shared" si="1"/>
        <v>Gasóleo C</v>
      </c>
      <c r="AV35" s="80">
        <f>HLOOKUP(MAXA(B4:M4),$B$4:$M$49,31,FALSE)</f>
        <v>19.974</v>
      </c>
      <c r="AW35" s="80"/>
    </row>
    <row r="36" spans="1:49" ht="16.5" customHeight="1" x14ac:dyDescent="0.2">
      <c r="A36" s="9" t="s">
        <v>34</v>
      </c>
      <c r="B36" s="3">
        <v>0</v>
      </c>
      <c r="C36" s="2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4">
        <f t="shared" si="0"/>
        <v>0</v>
      </c>
      <c r="AU36" s="79" t="str">
        <f t="shared" si="1"/>
        <v>Gasóleo para uso marítimo</v>
      </c>
      <c r="AV36" s="80">
        <f>HLOOKUP(MAXA(B4:M4),$B$4:$M$49,32,FALSE)</f>
        <v>61.116</v>
      </c>
      <c r="AW36" s="80"/>
    </row>
    <row r="37" spans="1:49" ht="16.5" customHeight="1" x14ac:dyDescent="0.2">
      <c r="A37" s="9" t="s">
        <v>35</v>
      </c>
      <c r="B37" s="3">
        <v>1932.47</v>
      </c>
      <c r="C37" s="2">
        <v>1785.873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4">
        <f t="shared" si="0"/>
        <v>3718.3429999999998</v>
      </c>
      <c r="AU37" s="79" t="str">
        <f t="shared" si="1"/>
        <v>Diésel para uso marítimo</v>
      </c>
      <c r="AV37" s="80">
        <f>HLOOKUP(MAXA(B4:M4),$B$4:$M$49,33,FALSE)</f>
        <v>0</v>
      </c>
      <c r="AW37" s="80"/>
    </row>
    <row r="38" spans="1:49" ht="16.5" customHeight="1" x14ac:dyDescent="0.2">
      <c r="A38" s="9" t="s">
        <v>36</v>
      </c>
      <c r="B38" s="3">
        <v>8.4109999999999996</v>
      </c>
      <c r="C38" s="2">
        <v>7.27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4">
        <f t="shared" si="0"/>
        <v>15.680999999999999</v>
      </c>
      <c r="AU38" s="79" t="str">
        <f t="shared" si="1"/>
        <v>Otros Gasóleos</v>
      </c>
      <c r="AV38" s="80">
        <f>HLOOKUP(MAXA(B4:M4),$B$4:$M$49,34,FALSE)</f>
        <v>1785.873</v>
      </c>
      <c r="AW38" s="80"/>
    </row>
    <row r="39" spans="1:49" ht="16.5" customHeight="1" x14ac:dyDescent="0.2">
      <c r="A39" s="9" t="s">
        <v>37</v>
      </c>
      <c r="B39" s="3">
        <v>0</v>
      </c>
      <c r="C39" s="2"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4">
        <f t="shared" si="0"/>
        <v>0</v>
      </c>
      <c r="AU39" s="79" t="str">
        <f t="shared" si="1"/>
        <v>Biodiesel</v>
      </c>
      <c r="AV39" s="80">
        <f>HLOOKUP(MAXA(B4:M4),$B$4:$M$49,35,FALSE)</f>
        <v>7.27</v>
      </c>
      <c r="AW39" s="80"/>
    </row>
    <row r="40" spans="1:49" ht="16.5" customHeight="1" x14ac:dyDescent="0.2">
      <c r="A40" s="9" t="s">
        <v>38</v>
      </c>
      <c r="B40" s="3">
        <v>0</v>
      </c>
      <c r="C40" s="2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4">
        <f t="shared" si="0"/>
        <v>0</v>
      </c>
      <c r="AU40" s="79" t="str">
        <f t="shared" si="1"/>
        <v>Biodiesel Mezcla</v>
      </c>
      <c r="AV40" s="80">
        <f>HLOOKUP(MAXA(B4:M4),$B$4:$M$49,36,FALSE)</f>
        <v>0</v>
      </c>
      <c r="AW40" s="80"/>
    </row>
    <row r="41" spans="1:49" ht="16.5" customHeight="1" x14ac:dyDescent="0.2">
      <c r="A41" s="9" t="s">
        <v>39</v>
      </c>
      <c r="B41" s="3">
        <v>0</v>
      </c>
      <c r="C41" s="2"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4">
        <f t="shared" si="0"/>
        <v>0</v>
      </c>
      <c r="AU41" s="79" t="str">
        <f t="shared" si="1"/>
        <v>Fuelóleo BIA</v>
      </c>
      <c r="AV41" s="80">
        <f>HLOOKUP(MAXA(B4:M4),$B$4:$M$49,37,FALSE)</f>
        <v>0</v>
      </c>
      <c r="AW41" s="80"/>
    </row>
    <row r="42" spans="1:49" ht="16.5" customHeight="1" x14ac:dyDescent="0.2">
      <c r="A42" s="9" t="s">
        <v>60</v>
      </c>
      <c r="B42" s="3">
        <v>0</v>
      </c>
      <c r="C42" s="2"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4">
        <f t="shared" si="0"/>
        <v>0</v>
      </c>
      <c r="AU42" s="79" t="str">
        <f t="shared" si="1"/>
        <v>Fuelóleo de refineria</v>
      </c>
      <c r="AV42" s="80">
        <f>HLOOKUP(MAXA(B4:M4),$B$4:$M$49,38,FALSE)</f>
        <v>0</v>
      </c>
      <c r="AW42" s="80"/>
    </row>
    <row r="43" spans="1:49" ht="16.5" customHeight="1" x14ac:dyDescent="0.2">
      <c r="A43" s="9" t="s">
        <v>40</v>
      </c>
      <c r="B43" s="3">
        <v>450.274</v>
      </c>
      <c r="C43" s="2">
        <v>328.14400000000001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4">
        <f t="shared" si="0"/>
        <v>778.41800000000001</v>
      </c>
      <c r="AU43" s="79" t="str">
        <f t="shared" si="1"/>
        <v>Otros combustibles para uso marítimo</v>
      </c>
      <c r="AV43" s="80">
        <f>HLOOKUP(MAXA(B4:M4),$B$4:$M$49,39,FALSE)</f>
        <v>0</v>
      </c>
      <c r="AW43" s="80"/>
    </row>
    <row r="44" spans="1:49" ht="16.5" customHeight="1" x14ac:dyDescent="0.2">
      <c r="A44" s="9" t="s">
        <v>41</v>
      </c>
      <c r="B44" s="3">
        <v>26.797000000000001</v>
      </c>
      <c r="C44" s="2">
        <v>22.974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4">
        <f t="shared" si="0"/>
        <v>49.771000000000001</v>
      </c>
      <c r="AU44" s="79" t="str">
        <f t="shared" si="1"/>
        <v>Otros Fuelóleos</v>
      </c>
      <c r="AV44" s="80">
        <f>HLOOKUP(MAXA(B4:M4),$B$4:$M$49,40,FALSE)</f>
        <v>328.14400000000001</v>
      </c>
      <c r="AW44" s="80"/>
    </row>
    <row r="45" spans="1:49" ht="16.5" customHeight="1" x14ac:dyDescent="0.2">
      <c r="A45" s="9" t="s">
        <v>42</v>
      </c>
      <c r="B45" s="3">
        <v>120.872</v>
      </c>
      <c r="C45" s="2">
        <v>138.21100000000001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4">
        <f t="shared" si="0"/>
        <v>259.08300000000003</v>
      </c>
      <c r="AU45" s="79" t="str">
        <f t="shared" si="1"/>
        <v>Aceites y bases lubricantes</v>
      </c>
      <c r="AV45" s="80">
        <f>HLOOKUP(MAXA(B4:M4),$B$4:$M$49,41,FALSE)</f>
        <v>22.974</v>
      </c>
      <c r="AW45" s="80"/>
    </row>
    <row r="46" spans="1:49" ht="16.5" customHeight="1" x14ac:dyDescent="0.2">
      <c r="A46" s="9" t="s">
        <v>43</v>
      </c>
      <c r="B46" s="3">
        <v>8.6430000000000007</v>
      </c>
      <c r="C46" s="2">
        <v>12.215999999999999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4">
        <f t="shared" si="0"/>
        <v>20.859000000000002</v>
      </c>
      <c r="AU46" s="79" t="str">
        <f t="shared" si="1"/>
        <v>Productos asfálticos</v>
      </c>
      <c r="AV46" s="80">
        <f>HLOOKUP(MAXA(B4:M4),$B$4:$M$49,42,FALSE)</f>
        <v>138.21100000000001</v>
      </c>
      <c r="AW46" s="80"/>
    </row>
    <row r="47" spans="1:49" ht="16.5" customHeight="1" x14ac:dyDescent="0.2">
      <c r="A47" s="9" t="s">
        <v>44</v>
      </c>
      <c r="B47" s="3">
        <v>6.7759999999999998</v>
      </c>
      <c r="C47" s="2">
        <v>6.7039999999999997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4">
        <f t="shared" si="0"/>
        <v>13.48</v>
      </c>
      <c r="AU47" s="79" t="str">
        <f t="shared" si="1"/>
        <v>Disolventes</v>
      </c>
      <c r="AV47" s="80">
        <f>HLOOKUP(MAXA(B4:M4),$B$4:$M$49,43,FALSE)</f>
        <v>12.215999999999999</v>
      </c>
      <c r="AW47" s="80"/>
    </row>
    <row r="48" spans="1:49" ht="16.5" customHeight="1" x14ac:dyDescent="0.2">
      <c r="A48" s="9" t="s">
        <v>45</v>
      </c>
      <c r="B48" s="3">
        <v>276.36099999999999</v>
      </c>
      <c r="C48" s="2">
        <v>333.20699999999999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4">
        <f t="shared" si="0"/>
        <v>609.56799999999998</v>
      </c>
      <c r="AU48" s="79" t="str">
        <f t="shared" si="1"/>
        <v>Parafinas</v>
      </c>
      <c r="AV48" s="80">
        <f>HLOOKUP(MAXA(B4:M4),$B$4:$M$49,44,FALSE)</f>
        <v>6.7039999999999997</v>
      </c>
      <c r="AW48" s="80"/>
    </row>
    <row r="49" spans="1:49" ht="18" customHeight="1" x14ac:dyDescent="0.2">
      <c r="A49" s="10" t="s">
        <v>52</v>
      </c>
      <c r="B49" s="7">
        <v>178.72899999999998</v>
      </c>
      <c r="C49" s="5">
        <v>231.23899999999867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6">
        <f t="shared" si="0"/>
        <v>409.96799999999865</v>
      </c>
      <c r="AU49" s="79" t="str">
        <f t="shared" si="1"/>
        <v>Coque de petróleo</v>
      </c>
      <c r="AV49" s="80">
        <f>HLOOKUP(MAXA(B4:M4),$B$4:$M$49,45,FALSE)</f>
        <v>333.20699999999999</v>
      </c>
      <c r="AW49" s="80"/>
    </row>
    <row r="50" spans="1:49" x14ac:dyDescent="0.2">
      <c r="F50" s="41"/>
      <c r="AU50" s="79" t="str">
        <f t="shared" si="1"/>
        <v>Otros Productos</v>
      </c>
      <c r="AV50" s="80">
        <f>HLOOKUP(MAXA(B4:M4),$B$4:$M$49,46,FALSE)</f>
        <v>231.23899999999867</v>
      </c>
      <c r="AW50" s="80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1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6"/>
  <sheetViews>
    <sheetView zoomScale="70" zoomScaleNormal="70" workbookViewId="0">
      <selection activeCell="AK55" sqref="AK55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44" width="11" style="59"/>
    <col min="45" max="45" width="9.375" style="59" customWidth="1"/>
    <col min="46" max="47" width="11" style="59"/>
    <col min="48" max="48" width="11" style="89"/>
    <col min="49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Evolución_Anual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Carátula!Área_de_impresión</vt:lpstr>
      <vt:lpstr>Evolución_Anual!Área_de_impresión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2024-04-17T11:43:31Z</dcterms:modified>
</cp:coreProperties>
</file>