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7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8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9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10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1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12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7.xml" ContentType="application/vnd.openxmlformats-officedocument.drawingml.chart+xml"/>
  <Override PartName="/xl/drawings/drawing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21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2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2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2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2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2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4.xml" ContentType="application/vnd.openxmlformats-officedocument.drawingml.chart+xml"/>
  <Override PartName="/xl/drawings/drawing4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 codeName="ThisWorkbook"/>
  <xr:revisionPtr revIDLastSave="0" documentId="13_ncr:1_{4324DBBB-C59D-434D-9BF2-D930048F90DE}" xr6:coauthVersionLast="47" xr6:coauthVersionMax="47" xr10:uidLastSave="{00000000-0000-0000-0000-000000000000}"/>
  <bookViews>
    <workbookView xWindow="20280" yWindow="-120" windowWidth="29040" windowHeight="15840" tabRatio="599" firstSheet="2" activeTab="14" xr2:uid="{00000000-000D-0000-FFFF-FFFF00000000}"/>
  </bookViews>
  <sheets>
    <sheet name="Carátula" sheetId="15" r:id="rId1"/>
    <sheet name="2012" sheetId="1" r:id="rId2"/>
    <sheet name="2013" sheetId="4" r:id="rId3"/>
    <sheet name="2014" sheetId="5" r:id="rId4"/>
    <sheet name="2015" sheetId="6" r:id="rId5"/>
    <sheet name="2016" sheetId="7" r:id="rId6"/>
    <sheet name="2017" sheetId="8" r:id="rId7"/>
    <sheet name="2018" sheetId="9" r:id="rId8"/>
    <sheet name="2019" sheetId="10" r:id="rId9"/>
    <sheet name="2020" sheetId="11" r:id="rId10"/>
    <sheet name="2021" sheetId="12" r:id="rId11"/>
    <sheet name="2022" sheetId="13" r:id="rId12"/>
    <sheet name="2023" sheetId="14" r:id="rId13"/>
    <sheet name="2024" sheetId="19" r:id="rId14"/>
    <sheet name="2025" sheetId="20" r:id="rId15"/>
    <sheet name="Evolución_Anual" sheetId="16" r:id="rId16"/>
  </sheets>
  <definedNames>
    <definedName name="_xlnm.Print_Area" localSheetId="2">'2013'!$A$1:$N$49</definedName>
    <definedName name="_xlnm.Print_Area" localSheetId="3">'2014'!$A$1:$N$49</definedName>
    <definedName name="_xlnm.Print_Area" localSheetId="4">'2015'!$A$1:$N$49</definedName>
    <definedName name="_xlnm.Print_Area" localSheetId="5">'2016'!$A$1:$N$49</definedName>
    <definedName name="_xlnm.Print_Area" localSheetId="6">'2017'!$A$1:$N$49</definedName>
    <definedName name="_xlnm.Print_Area" localSheetId="7">'2018'!$A$1:$N$49</definedName>
    <definedName name="_xlnm.Print_Area" localSheetId="8">'2019'!$A$1:$N$49</definedName>
    <definedName name="_xlnm.Print_Area" localSheetId="9">'2020'!$A$1:$N$49</definedName>
    <definedName name="_xlnm.Print_Area" localSheetId="10">'2021'!$A$1:$N$49</definedName>
    <definedName name="_xlnm.Print_Area" localSheetId="11">'2022'!$A$1:$N$49</definedName>
    <definedName name="_xlnm.Print_Area" localSheetId="12">'2023'!$AB$1:$AQ$29</definedName>
    <definedName name="_xlnm.Print_Area" localSheetId="13">'2024'!$AB$30:$AQ$76</definedName>
    <definedName name="_xlnm.Print_Area" localSheetId="14">'2025'!$AB$30:$AQ$76</definedName>
    <definedName name="_xlnm.Print_Area" localSheetId="0">Carátula!$A$1:$H$41</definedName>
    <definedName name="_xlnm.Print_Area" localSheetId="15">Evolución_Anual!$A$1:$M$46</definedName>
    <definedName name="wrn.MENSUAL." localSheetId="0" hidden="1">{#N/A,#N/A,FALSE,"REPORT 1";#N/A,#N/A,FALSE,"REPORT 2-A";#N/A,#N/A,FALSE,"REPORT 2-B";#N/A,#N/A,FALSE,"REPORT 3";#N/A,#N/A,FALSE,"REPORT 4";#N/A,#N/A,FALSE,"REPORT 5";#N/A,#N/A,FALSE,"REPORT 10";#N/A,#N/A,FALSE,"REPORT 11";#N/A,#N/A,FALSE,"RESERVAS EMERGENCIA"}</definedName>
    <definedName name="wrn.MENSUAL." localSheetId="15" hidden="1">{#N/A,#N/A,FALSE,"REPORT 1";#N/A,#N/A,FALSE,"REPORT 2-A";#N/A,#N/A,FALSE,"REPORT 2-B";#N/A,#N/A,FALSE,"REPORT 3";#N/A,#N/A,FALSE,"REPORT 4";#N/A,#N/A,FALSE,"REPORT 5";#N/A,#N/A,FALSE,"REPORT 10";#N/A,#N/A,FALSE,"REPORT 11";#N/A,#N/A,FALSE,"RESERVAS EMERGENCIA"}</definedName>
    <definedName name="wrn.MENSUAL." hidden="1">{#N/A,#N/A,FALSE,"REPORT 1";#N/A,#N/A,FALSE,"REPORT 2-A";#N/A,#N/A,FALSE,"REPORT 2-B";#N/A,#N/A,FALSE,"REPORT 3";#N/A,#N/A,FALSE,"REPORT 4";#N/A,#N/A,FALSE,"REPORT 5";#N/A,#N/A,FALSE,"REPORT 10";#N/A,#N/A,FALSE,"REPORT 11";#N/A,#N/A,FALSE,"RESERVAS EMERGENCIA"}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V50" i="20" l="1"/>
  <c r="AU50" i="20"/>
  <c r="AV49" i="20"/>
  <c r="AU49" i="20"/>
  <c r="N49" i="20"/>
  <c r="AV48" i="20"/>
  <c r="AU48" i="20"/>
  <c r="N48" i="20"/>
  <c r="AV47" i="20"/>
  <c r="AU47" i="20"/>
  <c r="N47" i="20"/>
  <c r="AV46" i="20"/>
  <c r="AU46" i="20"/>
  <c r="N46" i="20"/>
  <c r="AV45" i="20"/>
  <c r="AU45" i="20"/>
  <c r="N45" i="20"/>
  <c r="AV44" i="20"/>
  <c r="AU44" i="20"/>
  <c r="N44" i="20"/>
  <c r="AV43" i="20"/>
  <c r="AU43" i="20"/>
  <c r="N43" i="20"/>
  <c r="AV42" i="20"/>
  <c r="AU42" i="20"/>
  <c r="N42" i="20"/>
  <c r="AV41" i="20"/>
  <c r="AU41" i="20"/>
  <c r="N41" i="20"/>
  <c r="AV40" i="20"/>
  <c r="AU40" i="20"/>
  <c r="N40" i="20"/>
  <c r="AV39" i="20"/>
  <c r="AU39" i="20"/>
  <c r="N39" i="20"/>
  <c r="AV38" i="20"/>
  <c r="AU38" i="20"/>
  <c r="N38" i="20"/>
  <c r="AV37" i="20"/>
  <c r="AU37" i="20"/>
  <c r="N37" i="20"/>
  <c r="AV36" i="20"/>
  <c r="AU36" i="20"/>
  <c r="N36" i="20"/>
  <c r="AV35" i="20"/>
  <c r="AU35" i="20"/>
  <c r="N35" i="20"/>
  <c r="AV34" i="20"/>
  <c r="AU34" i="20"/>
  <c r="N34" i="20"/>
  <c r="AV33" i="20"/>
  <c r="AU33" i="20"/>
  <c r="N33" i="20"/>
  <c r="AV32" i="20"/>
  <c r="AU32" i="20"/>
  <c r="N32" i="20"/>
  <c r="AV31" i="20"/>
  <c r="AU31" i="20"/>
  <c r="N31" i="20"/>
  <c r="AV30" i="20"/>
  <c r="AU30" i="20"/>
  <c r="N30" i="20"/>
  <c r="AV29" i="20"/>
  <c r="AU29" i="20"/>
  <c r="N29" i="20"/>
  <c r="AV28" i="20"/>
  <c r="AU28" i="20"/>
  <c r="N28" i="20"/>
  <c r="AV27" i="20"/>
  <c r="AU27" i="20"/>
  <c r="N27" i="20"/>
  <c r="AV26" i="20"/>
  <c r="AU26" i="20"/>
  <c r="N26" i="20"/>
  <c r="AV25" i="20"/>
  <c r="AU25" i="20"/>
  <c r="N25" i="20"/>
  <c r="AV24" i="20"/>
  <c r="AU24" i="20"/>
  <c r="N24" i="20"/>
  <c r="AV23" i="20"/>
  <c r="AU23" i="20"/>
  <c r="N23" i="20"/>
  <c r="AV22" i="20"/>
  <c r="AU22" i="20"/>
  <c r="N22" i="20"/>
  <c r="AV21" i="20"/>
  <c r="AU21" i="20"/>
  <c r="N21" i="20"/>
  <c r="AV20" i="20"/>
  <c r="AU20" i="20"/>
  <c r="N20" i="20"/>
  <c r="AV19" i="20"/>
  <c r="AU19" i="20"/>
  <c r="N19" i="20"/>
  <c r="AV18" i="20"/>
  <c r="AU18" i="20"/>
  <c r="N18" i="20"/>
  <c r="AV17" i="20"/>
  <c r="AU17" i="20"/>
  <c r="N17" i="20"/>
  <c r="N16" i="20"/>
  <c r="AV15" i="20"/>
  <c r="AU15" i="20"/>
  <c r="N15" i="20"/>
  <c r="AV14" i="20"/>
  <c r="AU14" i="20"/>
  <c r="N14" i="20"/>
  <c r="AV13" i="20"/>
  <c r="AU13" i="20"/>
  <c r="N13" i="20"/>
  <c r="AV12" i="20"/>
  <c r="AU12" i="20"/>
  <c r="N12" i="20"/>
  <c r="AV11" i="20"/>
  <c r="AU11" i="20"/>
  <c r="N11" i="20"/>
  <c r="N10" i="20"/>
  <c r="N9" i="20"/>
  <c r="AV8" i="20"/>
  <c r="AU8" i="20"/>
  <c r="N8" i="20"/>
  <c r="AV7" i="20"/>
  <c r="AU7" i="20"/>
  <c r="N7" i="20"/>
  <c r="AV6" i="20"/>
  <c r="AU6" i="20"/>
  <c r="N6" i="20"/>
  <c r="N5" i="20"/>
  <c r="AV3" i="20"/>
  <c r="Q1" i="20" s="1"/>
  <c r="N5" i="19"/>
  <c r="N49" i="14"/>
  <c r="N48" i="14"/>
  <c r="N47" i="14"/>
  <c r="N46" i="14"/>
  <c r="N45" i="14"/>
  <c r="N44" i="14"/>
  <c r="N43" i="14"/>
  <c r="N42" i="14"/>
  <c r="N41" i="14"/>
  <c r="N40" i="14"/>
  <c r="N39" i="14"/>
  <c r="N38" i="14"/>
  <c r="N37" i="14"/>
  <c r="N36" i="14"/>
  <c r="N35" i="14"/>
  <c r="N34" i="14"/>
  <c r="N33" i="14"/>
  <c r="N32" i="14"/>
  <c r="N31" i="14"/>
  <c r="N30" i="14"/>
  <c r="N29" i="14"/>
  <c r="N28" i="14"/>
  <c r="N27" i="14"/>
  <c r="N26" i="14"/>
  <c r="N25" i="14"/>
  <c r="N24" i="14"/>
  <c r="N23" i="14"/>
  <c r="N22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N8" i="14"/>
  <c r="N7" i="14"/>
  <c r="N6" i="14"/>
  <c r="N5" i="14"/>
  <c r="AV3" i="19"/>
  <c r="AV6" i="19"/>
  <c r="AV50" i="19"/>
  <c r="AU50" i="19"/>
  <c r="AV49" i="19"/>
  <c r="AU49" i="19"/>
  <c r="N49" i="19"/>
  <c r="AV48" i="19"/>
  <c r="AU48" i="19"/>
  <c r="N48" i="19"/>
  <c r="AV47" i="19"/>
  <c r="AU47" i="19"/>
  <c r="N47" i="19"/>
  <c r="AV46" i="19"/>
  <c r="AU46" i="19"/>
  <c r="N46" i="19"/>
  <c r="AV45" i="19"/>
  <c r="AU45" i="19"/>
  <c r="N45" i="19"/>
  <c r="AV44" i="19"/>
  <c r="AU44" i="19"/>
  <c r="N44" i="19"/>
  <c r="AV43" i="19"/>
  <c r="AU43" i="19"/>
  <c r="N43" i="19"/>
  <c r="AV42" i="19"/>
  <c r="AU42" i="19"/>
  <c r="N42" i="19"/>
  <c r="AV41" i="19"/>
  <c r="AU41" i="19"/>
  <c r="N41" i="19"/>
  <c r="AV40" i="19"/>
  <c r="AU40" i="19"/>
  <c r="N40" i="19"/>
  <c r="AV39" i="19"/>
  <c r="AU39" i="19"/>
  <c r="N39" i="19"/>
  <c r="AV38" i="19"/>
  <c r="AU38" i="19"/>
  <c r="N38" i="19"/>
  <c r="AV37" i="19"/>
  <c r="AU37" i="19"/>
  <c r="N37" i="19"/>
  <c r="AV36" i="19"/>
  <c r="AU36" i="19"/>
  <c r="N36" i="19"/>
  <c r="AV35" i="19"/>
  <c r="AU35" i="19"/>
  <c r="N35" i="19"/>
  <c r="AV34" i="19"/>
  <c r="AU34" i="19"/>
  <c r="N34" i="19"/>
  <c r="AV33" i="19"/>
  <c r="AU33" i="19"/>
  <c r="N33" i="19"/>
  <c r="AV32" i="19"/>
  <c r="AU32" i="19"/>
  <c r="N32" i="19"/>
  <c r="AV31" i="19"/>
  <c r="AU31" i="19"/>
  <c r="N31" i="19"/>
  <c r="AV30" i="19"/>
  <c r="AU30" i="19"/>
  <c r="N30" i="19"/>
  <c r="AV29" i="19"/>
  <c r="AU29" i="19"/>
  <c r="N29" i="19"/>
  <c r="AV28" i="19"/>
  <c r="AU28" i="19"/>
  <c r="N28" i="19"/>
  <c r="AV27" i="19"/>
  <c r="AU27" i="19"/>
  <c r="N27" i="19"/>
  <c r="AV26" i="19"/>
  <c r="AU26" i="19"/>
  <c r="N26" i="19"/>
  <c r="AV25" i="19"/>
  <c r="AU25" i="19"/>
  <c r="N25" i="19"/>
  <c r="AV24" i="19"/>
  <c r="AU24" i="19"/>
  <c r="N24" i="19"/>
  <c r="AV23" i="19"/>
  <c r="AU23" i="19"/>
  <c r="N23" i="19"/>
  <c r="AV22" i="19"/>
  <c r="AU22" i="19"/>
  <c r="N22" i="19"/>
  <c r="AV21" i="19"/>
  <c r="AU21" i="19"/>
  <c r="N21" i="19"/>
  <c r="AV20" i="19"/>
  <c r="AU20" i="19"/>
  <c r="N20" i="19"/>
  <c r="AV19" i="19"/>
  <c r="AU19" i="19"/>
  <c r="N19" i="19"/>
  <c r="AV18" i="19"/>
  <c r="AU18" i="19"/>
  <c r="N18" i="19"/>
  <c r="AV17" i="19"/>
  <c r="AU17" i="19"/>
  <c r="N17" i="19"/>
  <c r="N16" i="19"/>
  <c r="AV15" i="19"/>
  <c r="AU15" i="19"/>
  <c r="N15" i="19"/>
  <c r="AV14" i="19"/>
  <c r="AU14" i="19"/>
  <c r="N14" i="19"/>
  <c r="AV13" i="19"/>
  <c r="AU13" i="19"/>
  <c r="N13" i="19"/>
  <c r="AV12" i="19"/>
  <c r="AU12" i="19"/>
  <c r="N12" i="19"/>
  <c r="AV11" i="19"/>
  <c r="AU11" i="19"/>
  <c r="N11" i="19"/>
  <c r="N10" i="19"/>
  <c r="N9" i="19"/>
  <c r="AV8" i="19"/>
  <c r="AU8" i="19"/>
  <c r="N8" i="19"/>
  <c r="AV7" i="19"/>
  <c r="AU7" i="19"/>
  <c r="N7" i="19"/>
  <c r="AU6" i="19"/>
  <c r="N6" i="19"/>
  <c r="B16" i="15" l="1"/>
  <c r="Q1" i="19"/>
  <c r="B15" i="12"/>
  <c r="N15" i="12" s="1"/>
  <c r="C15" i="12"/>
  <c r="D15" i="12"/>
  <c r="E15" i="12"/>
  <c r="F15" i="12"/>
  <c r="G15" i="12"/>
  <c r="H15" i="12"/>
  <c r="I15" i="12"/>
  <c r="J15" i="12"/>
  <c r="K15" i="12"/>
  <c r="L15" i="12"/>
  <c r="M15" i="12"/>
  <c r="N49" i="12"/>
  <c r="N48" i="12"/>
  <c r="N47" i="12"/>
  <c r="N46" i="12"/>
  <c r="N45" i="12"/>
  <c r="N44" i="12"/>
  <c r="N43" i="12"/>
  <c r="N42" i="12"/>
  <c r="N41" i="12"/>
  <c r="N40" i="12"/>
  <c r="N39" i="12"/>
  <c r="N38" i="12"/>
  <c r="N37" i="12"/>
  <c r="N36" i="12"/>
  <c r="N35" i="12"/>
  <c r="N34" i="12"/>
  <c r="N33" i="12"/>
  <c r="N32" i="12"/>
  <c r="N31" i="12"/>
  <c r="N30" i="12"/>
  <c r="N29" i="12"/>
  <c r="N28" i="12"/>
  <c r="N27" i="12"/>
  <c r="N26" i="12"/>
  <c r="N25" i="12"/>
  <c r="N24" i="12"/>
  <c r="N23" i="12"/>
  <c r="N22" i="12"/>
  <c r="N21" i="12"/>
  <c r="N20" i="12"/>
  <c r="N19" i="12"/>
  <c r="N18" i="12"/>
  <c r="N17" i="12"/>
  <c r="N16" i="12"/>
  <c r="N14" i="12"/>
  <c r="N13" i="12"/>
  <c r="N12" i="12"/>
  <c r="N11" i="12"/>
  <c r="N10" i="12"/>
  <c r="N9" i="12"/>
  <c r="N8" i="12"/>
  <c r="N7" i="12"/>
  <c r="N6" i="12"/>
  <c r="N5" i="12"/>
  <c r="M15" i="11"/>
  <c r="L15" i="11"/>
  <c r="K15" i="11"/>
  <c r="J15" i="11"/>
  <c r="I15" i="11"/>
  <c r="H15" i="11"/>
  <c r="G15" i="11"/>
  <c r="F15" i="11"/>
  <c r="E15" i="11"/>
  <c r="D15" i="11"/>
  <c r="C15" i="11"/>
  <c r="B15" i="11"/>
  <c r="N49" i="11"/>
  <c r="N48" i="11"/>
  <c r="N47" i="11"/>
  <c r="N46" i="11"/>
  <c r="N45" i="11"/>
  <c r="N44" i="11"/>
  <c r="N43" i="11"/>
  <c r="N42" i="11"/>
  <c r="N41" i="11"/>
  <c r="N40" i="11"/>
  <c r="N39" i="11"/>
  <c r="N38" i="11"/>
  <c r="N37" i="11"/>
  <c r="N36" i="11"/>
  <c r="N35" i="11"/>
  <c r="N34" i="11"/>
  <c r="N33" i="11"/>
  <c r="N32" i="11"/>
  <c r="N31" i="11"/>
  <c r="N30" i="11"/>
  <c r="N29" i="11"/>
  <c r="N28" i="11"/>
  <c r="N27" i="11"/>
  <c r="N26" i="11"/>
  <c r="N25" i="11"/>
  <c r="N24" i="11"/>
  <c r="N23" i="11"/>
  <c r="N22" i="11"/>
  <c r="N21" i="11"/>
  <c r="N20" i="11"/>
  <c r="N19" i="11"/>
  <c r="N18" i="11"/>
  <c r="N17" i="11"/>
  <c r="N16" i="11"/>
  <c r="N14" i="11"/>
  <c r="N13" i="11"/>
  <c r="N12" i="11"/>
  <c r="N11" i="11"/>
  <c r="N10" i="11"/>
  <c r="N9" i="11"/>
  <c r="N8" i="11"/>
  <c r="N7" i="11"/>
  <c r="N6" i="11"/>
  <c r="N5" i="11"/>
  <c r="M15" i="10"/>
  <c r="L15" i="10"/>
  <c r="K15" i="10"/>
  <c r="J15" i="10"/>
  <c r="I15" i="10"/>
  <c r="H15" i="10"/>
  <c r="E15" i="10"/>
  <c r="G15" i="10"/>
  <c r="F15" i="10"/>
  <c r="D15" i="10"/>
  <c r="C15" i="10"/>
  <c r="N49" i="10"/>
  <c r="N48" i="10"/>
  <c r="N47" i="10"/>
  <c r="N46" i="10"/>
  <c r="N45" i="10"/>
  <c r="N44" i="10"/>
  <c r="N43" i="10"/>
  <c r="N42" i="10"/>
  <c r="N41" i="10"/>
  <c r="N40" i="10"/>
  <c r="N39" i="10"/>
  <c r="N38" i="10"/>
  <c r="N37" i="10"/>
  <c r="N36" i="10"/>
  <c r="N35" i="10"/>
  <c r="N34" i="10"/>
  <c r="N33" i="10"/>
  <c r="N32" i="10"/>
  <c r="N31" i="10"/>
  <c r="N30" i="10"/>
  <c r="N29" i="10"/>
  <c r="N28" i="10"/>
  <c r="N27" i="10"/>
  <c r="N26" i="10"/>
  <c r="N25" i="10"/>
  <c r="N24" i="10"/>
  <c r="N23" i="10"/>
  <c r="N22" i="10"/>
  <c r="N21" i="10"/>
  <c r="N20" i="10"/>
  <c r="N19" i="10"/>
  <c r="N18" i="10"/>
  <c r="N17" i="10"/>
  <c r="N16" i="10"/>
  <c r="B15" i="10"/>
  <c r="N14" i="10"/>
  <c r="N13" i="10"/>
  <c r="N12" i="10"/>
  <c r="N11" i="10"/>
  <c r="N10" i="10"/>
  <c r="N9" i="10"/>
  <c r="N8" i="10"/>
  <c r="N7" i="10"/>
  <c r="N6" i="10"/>
  <c r="N5" i="10"/>
  <c r="M15" i="9"/>
  <c r="L15" i="9"/>
  <c r="K15" i="9"/>
  <c r="J15" i="9"/>
  <c r="I15" i="9"/>
  <c r="H15" i="9"/>
  <c r="G15" i="9"/>
  <c r="F15" i="9"/>
  <c r="E15" i="9"/>
  <c r="D15" i="9"/>
  <c r="C15" i="9"/>
  <c r="N49" i="9"/>
  <c r="N48" i="9"/>
  <c r="N47" i="9"/>
  <c r="N46" i="9"/>
  <c r="N45" i="9"/>
  <c r="N44" i="9"/>
  <c r="N43" i="9"/>
  <c r="N42" i="9"/>
  <c r="N41" i="9"/>
  <c r="N40" i="9"/>
  <c r="N39" i="9"/>
  <c r="N38" i="9"/>
  <c r="N37" i="9"/>
  <c r="N36" i="9"/>
  <c r="N35" i="9"/>
  <c r="N34" i="9"/>
  <c r="N33" i="9"/>
  <c r="N32" i="9"/>
  <c r="N31" i="9"/>
  <c r="N30" i="9"/>
  <c r="N29" i="9"/>
  <c r="N28" i="9"/>
  <c r="N27" i="9"/>
  <c r="N26" i="9"/>
  <c r="N25" i="9"/>
  <c r="N24" i="9"/>
  <c r="N23" i="9"/>
  <c r="N22" i="9"/>
  <c r="N21" i="9"/>
  <c r="N20" i="9"/>
  <c r="N19" i="9"/>
  <c r="N18" i="9"/>
  <c r="N17" i="9"/>
  <c r="N16" i="9"/>
  <c r="B15" i="9"/>
  <c r="N14" i="9"/>
  <c r="N13" i="9"/>
  <c r="N12" i="9"/>
  <c r="N11" i="9"/>
  <c r="N10" i="9"/>
  <c r="N9" i="9"/>
  <c r="N8" i="9"/>
  <c r="N7" i="9"/>
  <c r="N6" i="9"/>
  <c r="N5" i="9"/>
  <c r="M15" i="8"/>
  <c r="L15" i="8"/>
  <c r="K15" i="8"/>
  <c r="J15" i="8"/>
  <c r="I15" i="8"/>
  <c r="H15" i="8"/>
  <c r="G15" i="8"/>
  <c r="F15" i="8"/>
  <c r="E15" i="8"/>
  <c r="C15" i="7"/>
  <c r="D15" i="7"/>
  <c r="E15" i="7"/>
  <c r="F15" i="7"/>
  <c r="G15" i="7"/>
  <c r="H15" i="7"/>
  <c r="I15" i="7"/>
  <c r="J15" i="7"/>
  <c r="K15" i="7"/>
  <c r="L15" i="7"/>
  <c r="M15" i="7"/>
  <c r="D15" i="8"/>
  <c r="C15" i="8"/>
  <c r="N49" i="8"/>
  <c r="N48" i="8"/>
  <c r="N47" i="8"/>
  <c r="N46" i="8"/>
  <c r="N45" i="8"/>
  <c r="N44" i="8"/>
  <c r="N43" i="8"/>
  <c r="N42" i="8"/>
  <c r="N41" i="8"/>
  <c r="N40" i="8"/>
  <c r="N39" i="8"/>
  <c r="N38" i="8"/>
  <c r="N37" i="8"/>
  <c r="N36" i="8"/>
  <c r="N35" i="8"/>
  <c r="N34" i="8"/>
  <c r="N33" i="8"/>
  <c r="N32" i="8"/>
  <c r="N31" i="8"/>
  <c r="N30" i="8"/>
  <c r="N29" i="8"/>
  <c r="N28" i="8"/>
  <c r="N27" i="8"/>
  <c r="N26" i="8"/>
  <c r="N25" i="8"/>
  <c r="N24" i="8"/>
  <c r="N23" i="8"/>
  <c r="N22" i="8"/>
  <c r="N21" i="8"/>
  <c r="N20" i="8"/>
  <c r="N19" i="8"/>
  <c r="N18" i="8"/>
  <c r="N17" i="8"/>
  <c r="N16" i="8"/>
  <c r="B15" i="8"/>
  <c r="N14" i="8"/>
  <c r="N13" i="8"/>
  <c r="N12" i="8"/>
  <c r="N11" i="8"/>
  <c r="N10" i="8"/>
  <c r="N9" i="8"/>
  <c r="N8" i="8"/>
  <c r="N7" i="8"/>
  <c r="N6" i="8"/>
  <c r="N5" i="8"/>
  <c r="N15" i="6"/>
  <c r="B15" i="7"/>
  <c r="N15" i="7" s="1"/>
  <c r="N6" i="7"/>
  <c r="N12" i="7"/>
  <c r="N49" i="7"/>
  <c r="N48" i="7"/>
  <c r="N47" i="7"/>
  <c r="N46" i="7"/>
  <c r="N45" i="7"/>
  <c r="N44" i="7"/>
  <c r="N43" i="7"/>
  <c r="N42" i="7"/>
  <c r="N41" i="7"/>
  <c r="N40" i="7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4" i="7"/>
  <c r="N13" i="7"/>
  <c r="N11" i="7"/>
  <c r="N10" i="7"/>
  <c r="N9" i="7"/>
  <c r="N8" i="7"/>
  <c r="N7" i="7"/>
  <c r="N5" i="7"/>
  <c r="N15" i="5"/>
  <c r="N5" i="6"/>
  <c r="N6" i="6"/>
  <c r="N7" i="6"/>
  <c r="N8" i="6"/>
  <c r="N9" i="6"/>
  <c r="N10" i="6"/>
  <c r="N11" i="6"/>
  <c r="N12" i="6"/>
  <c r="N13" i="6"/>
  <c r="N14" i="6"/>
  <c r="N10" i="4"/>
  <c r="N12" i="4"/>
  <c r="N5" i="4"/>
  <c r="N6" i="1"/>
  <c r="N49" i="6"/>
  <c r="N48" i="6"/>
  <c r="N47" i="6"/>
  <c r="N46" i="6"/>
  <c r="N45" i="6"/>
  <c r="N44" i="6"/>
  <c r="N43" i="6"/>
  <c r="N42" i="6"/>
  <c r="N41" i="6"/>
  <c r="N40" i="6"/>
  <c r="N39" i="6"/>
  <c r="N38" i="6"/>
  <c r="N37" i="6"/>
  <c r="N36" i="6"/>
  <c r="N35" i="6"/>
  <c r="N34" i="6"/>
  <c r="N33" i="6"/>
  <c r="N32" i="6"/>
  <c r="N31" i="6"/>
  <c r="N30" i="6"/>
  <c r="N29" i="6"/>
  <c r="N28" i="6"/>
  <c r="N27" i="6"/>
  <c r="N26" i="6"/>
  <c r="N25" i="6"/>
  <c r="N24" i="6"/>
  <c r="N23" i="6"/>
  <c r="N22" i="6"/>
  <c r="N21" i="6"/>
  <c r="N20" i="6"/>
  <c r="N19" i="6"/>
  <c r="N18" i="6"/>
  <c r="N17" i="6"/>
  <c r="N16" i="6"/>
  <c r="N12" i="5"/>
  <c r="N14" i="5"/>
  <c r="N9" i="5"/>
  <c r="N7" i="5"/>
  <c r="N5" i="5"/>
  <c r="N6" i="5"/>
  <c r="N8" i="5"/>
  <c r="N10" i="5"/>
  <c r="N11" i="5"/>
  <c r="N13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6" i="4"/>
  <c r="N7" i="4"/>
  <c r="N8" i="4"/>
  <c r="N9" i="4"/>
  <c r="N11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" i="1"/>
  <c r="N12" i="1" s="1"/>
  <c r="N7" i="1"/>
  <c r="N8" i="1"/>
  <c r="N9" i="1"/>
  <c r="N10" i="1"/>
  <c r="N11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15" i="8" l="1"/>
  <c r="N15" i="9"/>
  <c r="N15" i="10"/>
  <c r="N15" i="11"/>
</calcChain>
</file>

<file path=xl/sharedStrings.xml><?xml version="1.0" encoding="utf-8"?>
<sst xmlns="http://schemas.openxmlformats.org/spreadsheetml/2006/main" count="722" uniqueCount="66">
  <si>
    <t>PRODUCCION NACIONAL</t>
  </si>
  <si>
    <t>IMPORTACIONES DE CRUDO</t>
  </si>
  <si>
    <t>IMPORTACIONES DE PROD. INTERMEDIOS Y MAT. AUXILIARES</t>
  </si>
  <si>
    <t>VARIACION DE STOCKS DE CRUDOS (Ef-Ei)</t>
  </si>
  <si>
    <t>APROVISIONAMIENTO DE PROD. INTERMEDIOS Y MAT. AUXILIARES</t>
  </si>
  <si>
    <t>PRODUCTOS TRASPASADOS Y BACKFLOWS</t>
  </si>
  <si>
    <t>CONSUMO DIRECTO DE CRUDO</t>
  </si>
  <si>
    <t>TOTAL PROCESADO</t>
  </si>
  <si>
    <t>PERDIDAS DE REFINO</t>
  </si>
  <si>
    <t>PRODUCCION BRUTA DE REFINERIA</t>
  </si>
  <si>
    <t>Acumulado 2013</t>
  </si>
  <si>
    <t>AÑO 2012</t>
  </si>
  <si>
    <t>PROCESADO DE CRUDO</t>
  </si>
  <si>
    <t>Unidad: kt</t>
  </si>
  <si>
    <t>Gas Refinería</t>
  </si>
  <si>
    <t>Etano</t>
  </si>
  <si>
    <t>Butano</t>
  </si>
  <si>
    <t>Propano</t>
  </si>
  <si>
    <t>Nafta</t>
  </si>
  <si>
    <t>Gasolina 97 I.O.</t>
  </si>
  <si>
    <t>Gasolina 95 I.O.</t>
  </si>
  <si>
    <t>Gasolina 98 I.O.</t>
  </si>
  <si>
    <t>Gasolina de Aviación</t>
  </si>
  <si>
    <t>Otras Gasolinas</t>
  </si>
  <si>
    <t>Bioetanol</t>
  </si>
  <si>
    <t>Gasolinas Mezcla</t>
  </si>
  <si>
    <t>Queroseno aviac. Jet A1</t>
  </si>
  <si>
    <t>Queroseno aviac. Jet A2</t>
  </si>
  <si>
    <t>Otros Querosenos</t>
  </si>
  <si>
    <t>Gasóleo A</t>
  </si>
  <si>
    <t>Gasóleo A 10 PPM</t>
  </si>
  <si>
    <t>Gasóleo B</t>
  </si>
  <si>
    <t>Gasóleo C</t>
  </si>
  <si>
    <t>Gasóleo para uso marítimo</t>
  </si>
  <si>
    <t>Diésel para uso marítimo</t>
  </si>
  <si>
    <t>Otros Gasóleos</t>
  </si>
  <si>
    <t>Biodiesel</t>
  </si>
  <si>
    <t>Biodiesel Mezcla</t>
  </si>
  <si>
    <t>Fuelóleo BIA</t>
  </si>
  <si>
    <t>Fuelóleo de refineria</t>
  </si>
  <si>
    <t>Otros Fuelóleos</t>
  </si>
  <si>
    <t>Aceites y bases lubricantes</t>
  </si>
  <si>
    <t>Productos asfálticos</t>
  </si>
  <si>
    <t>Disolventes</t>
  </si>
  <si>
    <t>Parafinas</t>
  </si>
  <si>
    <t>Coque de petróleo</t>
  </si>
  <si>
    <t>MOVIMIENTO DE CRUDOS Y OBTENCIÓN DE PRODUCTOS PETROLÍFEROS</t>
  </si>
  <si>
    <t>Acumulado 2014</t>
  </si>
  <si>
    <t>Acumulado 2015</t>
  </si>
  <si>
    <t>Acumulado 2016</t>
  </si>
  <si>
    <t>Acumulado 2017</t>
  </si>
  <si>
    <t>Acumulado 2018</t>
  </si>
  <si>
    <t>Otros Productos</t>
  </si>
  <si>
    <t>Acumulado 2019</t>
  </si>
  <si>
    <t>Acumulado 2020</t>
  </si>
  <si>
    <t>Acumulado 2021</t>
  </si>
  <si>
    <t>Acumulado 2022</t>
  </si>
  <si>
    <t>Otros combustiibles para uso marítimo</t>
  </si>
  <si>
    <t>Acumulado 2023</t>
  </si>
  <si>
    <t>ESTADÍSTICA DE REFINERÍAS DE PETRÓLEO</t>
  </si>
  <si>
    <t>Otros combustibles para uso marítimo</t>
  </si>
  <si>
    <t>Acumulado 2024</t>
  </si>
  <si>
    <t>MOVIMIENTO DE CRUDOS Y OBTENCIÓN DE PRODUCTOS PETROLÍFEROS - AÑO 2024- EVOLUCIÓN MENSUAL</t>
  </si>
  <si>
    <t>Acumulado 2025</t>
  </si>
  <si>
    <t>MOVIMIENTO DE CRUDOS Y OBTENCIÓN DE PRODUCTOS PETROLÍFEROS - AÑO 2025- EVOLUCIÓN MENSUAL</t>
  </si>
  <si>
    <t>Información provisional elaborada a partir de la información disponible a fecha 13 de mayo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</si>
</sst>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00"/>
    <numFmt numFmtId="166" formatCode="0.000_ ;[Red]\-0.000\ "/>
    <numFmt numFmtId="167" formatCode="mmmm\ yyyy"/>
    <numFmt numFmtId="168" formatCode="0.0"/>
  </numFmts>
  <fonts count="27" x14ac:knownFonts="1">
    <font>
      <sz val="11"/>
      <color theme="1"/>
      <name val="Arial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  <scheme val="minor"/>
    </font>
    <font>
      <sz val="12"/>
      <name val="Arial"/>
      <family val="2"/>
      <scheme val="minor"/>
    </font>
    <font>
      <b/>
      <u/>
      <sz val="16"/>
      <color theme="1"/>
      <name val="Arial"/>
      <family val="2"/>
      <scheme val="minor"/>
    </font>
    <font>
      <i/>
      <sz val="12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sz val="12"/>
      <name val="Arial"/>
      <family val="2"/>
      <scheme val="minor"/>
    </font>
    <font>
      <sz val="12"/>
      <color theme="1"/>
      <name val="Arial"/>
      <family val="2"/>
      <scheme val="minor"/>
    </font>
    <font>
      <sz val="10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b/>
      <sz val="24"/>
      <color rgb="FF366092"/>
      <name val="Arial"/>
      <family val="2"/>
    </font>
    <font>
      <sz val="24"/>
      <color rgb="FF366092"/>
      <name val="Arial"/>
      <family val="2"/>
    </font>
    <font>
      <sz val="10"/>
      <color rgb="FF366092"/>
      <name val="Arial"/>
      <family val="2"/>
    </font>
    <font>
      <b/>
      <sz val="11"/>
      <color rgb="FF000000"/>
      <name val="Arial"/>
      <family val="2"/>
    </font>
    <font>
      <sz val="12"/>
      <color rgb="FF000000"/>
      <name val="Arial"/>
      <family val="2"/>
    </font>
    <font>
      <i/>
      <sz val="12"/>
      <color rgb="FF000000"/>
      <name val="Arial"/>
      <family val="2"/>
    </font>
    <font>
      <b/>
      <sz val="12"/>
      <color rgb="FF000000"/>
      <name val="Arial"/>
      <family val="2"/>
    </font>
    <font>
      <sz val="11"/>
      <color rgb="FFFF0000"/>
      <name val="Arial"/>
      <family val="2"/>
    </font>
    <font>
      <b/>
      <sz val="11"/>
      <color theme="0"/>
      <name val="Arial"/>
      <family val="2"/>
      <scheme val="minor"/>
    </font>
    <font>
      <sz val="11"/>
      <color theme="0"/>
      <name val="Arial"/>
      <family val="2"/>
      <scheme val="minor"/>
    </font>
    <font>
      <sz val="12"/>
      <color theme="0"/>
      <name val="Arial"/>
      <family val="2"/>
      <scheme val="minor"/>
    </font>
    <font>
      <sz val="8"/>
      <name val="Arial"/>
      <family val="2"/>
    </font>
    <font>
      <b/>
      <sz val="11"/>
      <name val="Arial"/>
      <family val="2"/>
      <scheme val="minor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DD"/>
        <bgColor indexed="64"/>
      </patternFill>
    </fill>
    <fill>
      <patternFill patternType="solid">
        <fgColor rgb="FFFFFFDD"/>
        <bgColor rgb="FFFFFFDD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0" fillId="0" borderId="0" applyNumberFormat="0" applyBorder="0" applyProtection="0"/>
    <xf numFmtId="0" fontId="11" fillId="0" borderId="0" applyNumberFormat="0" applyFont="0" applyBorder="0" applyProtection="0"/>
    <xf numFmtId="0" fontId="11" fillId="0" borderId="0"/>
  </cellStyleXfs>
  <cellXfs count="96">
    <xf numFmtId="0" fontId="0" fillId="0" borderId="0" xfId="0"/>
    <xf numFmtId="0" fontId="3" fillId="0" borderId="0" xfId="0" applyFont="1"/>
    <xf numFmtId="3" fontId="4" fillId="2" borderId="0" xfId="0" applyNumberFormat="1" applyFont="1" applyFill="1"/>
    <xf numFmtId="3" fontId="4" fillId="2" borderId="1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3" fontId="4" fillId="2" borderId="4" xfId="0" applyNumberFormat="1" applyFont="1" applyFill="1" applyBorder="1"/>
    <xf numFmtId="3" fontId="4" fillId="2" borderId="5" xfId="0" applyNumberFormat="1" applyFont="1" applyFill="1" applyBorder="1"/>
    <xf numFmtId="0" fontId="5" fillId="0" borderId="0" xfId="0" applyFont="1" applyAlignment="1">
      <alignment horizontal="center"/>
    </xf>
    <xf numFmtId="3" fontId="4" fillId="2" borderId="1" xfId="0" applyNumberFormat="1" applyFont="1" applyFill="1" applyBorder="1" applyAlignment="1">
      <alignment horizontal="left" indent="1"/>
    </xf>
    <xf numFmtId="3" fontId="4" fillId="2" borderId="5" xfId="0" applyNumberFormat="1" applyFont="1" applyFill="1" applyBorder="1" applyAlignment="1">
      <alignment horizontal="left" indent="1"/>
    </xf>
    <xf numFmtId="3" fontId="6" fillId="2" borderId="6" xfId="0" applyNumberFormat="1" applyFont="1" applyFill="1" applyBorder="1" applyAlignment="1">
      <alignment vertical="center"/>
    </xf>
    <xf numFmtId="17" fontId="7" fillId="2" borderId="7" xfId="0" applyNumberFormat="1" applyFont="1" applyFill="1" applyBorder="1" applyAlignment="1">
      <alignment vertical="center"/>
    </xf>
    <xf numFmtId="17" fontId="7" fillId="2" borderId="8" xfId="0" applyNumberFormat="1" applyFont="1" applyFill="1" applyBorder="1" applyAlignment="1">
      <alignment vertical="center"/>
    </xf>
    <xf numFmtId="17" fontId="8" fillId="2" borderId="8" xfId="0" applyNumberFormat="1" applyFont="1" applyFill="1" applyBorder="1" applyAlignment="1">
      <alignment vertical="center"/>
    </xf>
    <xf numFmtId="17" fontId="7" fillId="2" borderId="9" xfId="0" applyNumberFormat="1" applyFont="1" applyFill="1" applyBorder="1" applyAlignment="1">
      <alignment horizontal="right" vertical="center"/>
    </xf>
    <xf numFmtId="0" fontId="9" fillId="0" borderId="0" xfId="0" applyFont="1" applyAlignment="1">
      <alignment vertical="center"/>
    </xf>
    <xf numFmtId="3" fontId="4" fillId="2" borderId="6" xfId="0" applyNumberFormat="1" applyFont="1" applyFill="1" applyBorder="1" applyAlignment="1">
      <alignment vertical="center"/>
    </xf>
    <xf numFmtId="3" fontId="4" fillId="2" borderId="7" xfId="0" applyNumberFormat="1" applyFont="1" applyFill="1" applyBorder="1" applyAlignment="1">
      <alignment vertical="center"/>
    </xf>
    <xf numFmtId="3" fontId="4" fillId="2" borderId="8" xfId="0" applyNumberFormat="1" applyFont="1" applyFill="1" applyBorder="1" applyAlignment="1">
      <alignment vertical="center"/>
    </xf>
    <xf numFmtId="3" fontId="4" fillId="2" borderId="9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3" fontId="8" fillId="2" borderId="10" xfId="0" applyNumberFormat="1" applyFont="1" applyFill="1" applyBorder="1" applyAlignment="1">
      <alignment vertical="center"/>
    </xf>
    <xf numFmtId="3" fontId="8" fillId="2" borderId="1" xfId="0" applyNumberFormat="1" applyFont="1" applyFill="1" applyBorder="1" applyAlignment="1">
      <alignment vertical="center"/>
    </xf>
    <xf numFmtId="3" fontId="8" fillId="2" borderId="0" xfId="0" applyNumberFormat="1" applyFont="1" applyFill="1" applyAlignment="1">
      <alignment vertical="center"/>
    </xf>
    <xf numFmtId="3" fontId="8" fillId="2" borderId="2" xfId="0" applyNumberFormat="1" applyFont="1" applyFill="1" applyBorder="1" applyAlignment="1">
      <alignment vertical="center"/>
    </xf>
    <xf numFmtId="3" fontId="4" fillId="2" borderId="10" xfId="0" applyNumberFormat="1" applyFont="1" applyFill="1" applyBorder="1" applyAlignment="1">
      <alignment vertical="center"/>
    </xf>
    <xf numFmtId="3" fontId="4" fillId="2" borderId="1" xfId="0" applyNumberFormat="1" applyFont="1" applyFill="1" applyBorder="1" applyAlignment="1">
      <alignment vertical="center"/>
    </xf>
    <xf numFmtId="3" fontId="4" fillId="2" borderId="0" xfId="0" applyNumberFormat="1" applyFont="1" applyFill="1" applyAlignment="1">
      <alignment vertical="center"/>
    </xf>
    <xf numFmtId="3" fontId="4" fillId="2" borderId="2" xfId="0" applyNumberFormat="1" applyFont="1" applyFill="1" applyBorder="1" applyAlignment="1">
      <alignment vertical="center"/>
    </xf>
    <xf numFmtId="3" fontId="0" fillId="0" borderId="0" xfId="0" applyNumberForma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vertical="center"/>
    </xf>
    <xf numFmtId="1" fontId="2" fillId="0" borderId="0" xfId="0" applyNumberFormat="1" applyFont="1" applyAlignment="1">
      <alignment vertical="center"/>
    </xf>
    <xf numFmtId="1" fontId="3" fillId="0" borderId="0" xfId="0" applyNumberFormat="1" applyFont="1" applyAlignment="1">
      <alignment vertical="center"/>
    </xf>
    <xf numFmtId="3" fontId="0" fillId="0" borderId="0" xfId="0" applyNumberFormat="1" applyAlignment="1">
      <alignment vertical="center"/>
    </xf>
    <xf numFmtId="165" fontId="0" fillId="0" borderId="0" xfId="0" applyNumberFormat="1"/>
    <xf numFmtId="166" fontId="0" fillId="0" borderId="0" xfId="0" applyNumberFormat="1"/>
    <xf numFmtId="164" fontId="0" fillId="0" borderId="0" xfId="0" applyNumberFormat="1" applyAlignment="1">
      <alignment horizontal="center"/>
    </xf>
    <xf numFmtId="1" fontId="0" fillId="0" borderId="0" xfId="0" applyNumberFormat="1"/>
    <xf numFmtId="165" fontId="0" fillId="0" borderId="0" xfId="0" applyNumberFormat="1" applyAlignment="1">
      <alignment vertical="center"/>
    </xf>
    <xf numFmtId="165" fontId="3" fillId="0" borderId="0" xfId="0" applyNumberFormat="1" applyFont="1" applyAlignment="1">
      <alignment vertical="center"/>
    </xf>
    <xf numFmtId="164" fontId="0" fillId="0" borderId="0" xfId="0" applyNumberFormat="1"/>
    <xf numFmtId="3" fontId="9" fillId="2" borderId="8" xfId="0" applyNumberFormat="1" applyFont="1" applyFill="1" applyBorder="1" applyAlignment="1">
      <alignment vertical="center"/>
    </xf>
    <xf numFmtId="3" fontId="9" fillId="2" borderId="0" xfId="0" applyNumberFormat="1" applyFont="1" applyFill="1" applyAlignment="1">
      <alignment vertical="center"/>
    </xf>
    <xf numFmtId="164" fontId="0" fillId="0" borderId="0" xfId="0" applyNumberFormat="1" applyAlignment="1">
      <alignment vertical="center"/>
    </xf>
    <xf numFmtId="0" fontId="10" fillId="0" borderId="0" xfId="2"/>
    <xf numFmtId="0" fontId="0" fillId="0" borderId="0" xfId="3" applyFont="1"/>
    <xf numFmtId="0" fontId="12" fillId="0" borderId="0" xfId="2" applyFont="1"/>
    <xf numFmtId="0" fontId="14" fillId="0" borderId="0" xfId="2" applyFont="1" applyAlignment="1">
      <alignment horizontal="center" wrapText="1"/>
    </xf>
    <xf numFmtId="0" fontId="15" fillId="0" borderId="0" xfId="2" applyFont="1"/>
    <xf numFmtId="0" fontId="16" fillId="0" borderId="0" xfId="0" applyFont="1"/>
    <xf numFmtId="0" fontId="17" fillId="0" borderId="0" xfId="0" applyFont="1" applyAlignment="1">
      <alignment vertical="center"/>
    </xf>
    <xf numFmtId="1" fontId="16" fillId="0" borderId="0" xfId="0" applyNumberFormat="1" applyFont="1" applyAlignment="1">
      <alignment vertical="center"/>
    </xf>
    <xf numFmtId="0" fontId="16" fillId="0" borderId="0" xfId="0" applyFont="1" applyAlignment="1">
      <alignment vertical="center"/>
    </xf>
    <xf numFmtId="3" fontId="18" fillId="3" borderId="11" xfId="4" applyNumberFormat="1" applyFont="1" applyFill="1" applyBorder="1" applyAlignment="1">
      <alignment vertical="center" wrapText="1"/>
    </xf>
    <xf numFmtId="1" fontId="16" fillId="0" borderId="12" xfId="4" applyNumberFormat="1" applyFont="1" applyBorder="1" applyAlignment="1">
      <alignment horizontal="right" wrapText="1"/>
    </xf>
    <xf numFmtId="0" fontId="11" fillId="0" borderId="0" xfId="4"/>
    <xf numFmtId="3" fontId="17" fillId="3" borderId="11" xfId="4" applyNumberFormat="1" applyFont="1" applyFill="1" applyBorder="1" applyAlignment="1">
      <alignment vertical="center"/>
    </xf>
    <xf numFmtId="3" fontId="17" fillId="0" borderId="11" xfId="4" applyNumberFormat="1" applyFont="1" applyBorder="1" applyAlignment="1">
      <alignment vertical="center"/>
    </xf>
    <xf numFmtId="2" fontId="11" fillId="0" borderId="12" xfId="4" applyNumberFormat="1" applyBorder="1" applyAlignment="1">
      <alignment horizontal="right"/>
    </xf>
    <xf numFmtId="3" fontId="11" fillId="0" borderId="12" xfId="4" applyNumberFormat="1" applyBorder="1" applyAlignment="1">
      <alignment horizontal="right"/>
    </xf>
    <xf numFmtId="1" fontId="11" fillId="0" borderId="12" xfId="4" applyNumberFormat="1" applyBorder="1" applyAlignment="1">
      <alignment horizontal="right"/>
    </xf>
    <xf numFmtId="3" fontId="19" fillId="3" borderId="13" xfId="4" applyNumberFormat="1" applyFont="1" applyFill="1" applyBorder="1" applyAlignment="1">
      <alignment vertical="center"/>
    </xf>
    <xf numFmtId="3" fontId="17" fillId="3" borderId="13" xfId="4" applyNumberFormat="1" applyFont="1" applyFill="1" applyBorder="1" applyAlignment="1">
      <alignment vertical="center"/>
    </xf>
    <xf numFmtId="3" fontId="17" fillId="3" borderId="13" xfId="4" applyNumberFormat="1" applyFont="1" applyFill="1" applyBorder="1" applyAlignment="1">
      <alignment horizontal="left" indent="1"/>
    </xf>
    <xf numFmtId="3" fontId="17" fillId="3" borderId="14" xfId="4" applyNumberFormat="1" applyFont="1" applyFill="1" applyBorder="1" applyAlignment="1">
      <alignment horizontal="left" indent="1"/>
    </xf>
    <xf numFmtId="1" fontId="11" fillId="0" borderId="0" xfId="4" applyNumberFormat="1"/>
    <xf numFmtId="1" fontId="20" fillId="0" borderId="0" xfId="4" applyNumberFormat="1" applyFont="1"/>
    <xf numFmtId="0" fontId="22" fillId="0" borderId="0" xfId="0" applyFont="1"/>
    <xf numFmtId="167" fontId="22" fillId="0" borderId="0" xfId="0" applyNumberFormat="1" applyFont="1" applyAlignment="1">
      <alignment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3" fontId="22" fillId="0" borderId="0" xfId="0" applyNumberFormat="1" applyFont="1" applyAlignment="1">
      <alignment vertical="center"/>
    </xf>
    <xf numFmtId="168" fontId="22" fillId="0" borderId="0" xfId="0" applyNumberFormat="1" applyFont="1" applyAlignment="1">
      <alignment vertical="center"/>
    </xf>
    <xf numFmtId="0" fontId="21" fillId="0" borderId="0" xfId="0" applyFont="1" applyAlignment="1">
      <alignment vertical="center"/>
    </xf>
    <xf numFmtId="168" fontId="21" fillId="0" borderId="0" xfId="0" applyNumberFormat="1" applyFont="1" applyAlignment="1">
      <alignment vertical="center"/>
    </xf>
    <xf numFmtId="3" fontId="22" fillId="0" borderId="0" xfId="0" applyNumberFormat="1" applyFont="1"/>
    <xf numFmtId="168" fontId="22" fillId="0" borderId="0" xfId="0" applyNumberFormat="1" applyFont="1"/>
    <xf numFmtId="167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168" fontId="3" fillId="0" borderId="0" xfId="0" applyNumberFormat="1" applyFont="1" applyAlignment="1">
      <alignment vertical="center"/>
    </xf>
    <xf numFmtId="0" fontId="25" fillId="0" borderId="0" xfId="0" applyFont="1" applyAlignment="1">
      <alignment vertical="center"/>
    </xf>
    <xf numFmtId="168" fontId="25" fillId="0" borderId="0" xfId="0" applyNumberFormat="1" applyFont="1" applyAlignment="1">
      <alignment vertical="center"/>
    </xf>
    <xf numFmtId="3" fontId="3" fillId="0" borderId="0" xfId="0" applyNumberFormat="1" applyFont="1"/>
    <xf numFmtId="168" fontId="3" fillId="0" borderId="0" xfId="0" applyNumberFormat="1" applyFont="1"/>
    <xf numFmtId="0" fontId="26" fillId="0" borderId="0" xfId="4" applyFont="1"/>
    <xf numFmtId="17" fontId="7" fillId="2" borderId="15" xfId="0" applyNumberFormat="1" applyFont="1" applyFill="1" applyBorder="1" applyAlignment="1">
      <alignment vertical="center"/>
    </xf>
    <xf numFmtId="17" fontId="7" fillId="2" borderId="16" xfId="0" applyNumberFormat="1" applyFont="1" applyFill="1" applyBorder="1" applyAlignment="1">
      <alignment vertical="center"/>
    </xf>
    <xf numFmtId="0" fontId="13" fillId="0" borderId="0" xfId="2" applyFont="1" applyAlignment="1">
      <alignment horizontal="center" wrapText="1"/>
    </xf>
    <xf numFmtId="0" fontId="13" fillId="0" borderId="0" xfId="2" applyNumberFormat="1" applyFont="1" applyAlignment="1">
      <alignment horizontal="center" vertical="center" wrapText="1"/>
    </xf>
    <xf numFmtId="0" fontId="24" fillId="0" borderId="0" xfId="2" applyFont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5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4" xfId="4" xr:uid="{00000000-0005-0000-0000-000004000000}"/>
  </cellStyles>
  <dxfs count="0"/>
  <tableStyles count="0" defaultTableStyle="TableStyleMedium9" defaultPivotStyle="PivotStyleLight16"/>
  <colors>
    <mruColors>
      <color rgb="FFEF771D"/>
      <color rgb="FFFF410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PRODUCCION NACIONAL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'2024'!$A$5</c:f>
              <c:strCache>
                <c:ptCount val="1"/>
                <c:pt idx="0">
                  <c:v>PRODUCCION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'2024'!$B$5:$M$5</c:f>
              <c:numCache>
                <c:formatCode>#,##0</c:formatCode>
                <c:ptCount val="12"/>
                <c:pt idx="0">
                  <c:v>0</c:v>
                </c:pt>
                <c:pt idx="1">
                  <c:v>7.5999999999999998E-2</c:v>
                </c:pt>
                <c:pt idx="2">
                  <c:v>3.5999999999999997E-2</c:v>
                </c:pt>
                <c:pt idx="3">
                  <c:v>5.1999999999999998E-2</c:v>
                </c:pt>
                <c:pt idx="4">
                  <c:v>6.9000000000000006E-2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0.121</c:v>
                </c:pt>
                <c:pt idx="10">
                  <c:v>2.1999999999999999E-2</c:v>
                </c:pt>
                <c:pt idx="11">
                  <c:v>0.223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2A-44B8-A57A-A1FF53A8C82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23222024"/>
        <c:axId val="423223664"/>
      </c:barChart>
      <c:valAx>
        <c:axId val="42322366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00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2024"/>
        <c:crosses val="autoZero"/>
        <c:crossBetween val="between"/>
      </c:valAx>
      <c:dateAx>
        <c:axId val="42322202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3664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IMPORTACIONES DE CRUDO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'2024'!$A$6</c:f>
              <c:strCache>
                <c:ptCount val="1"/>
                <c:pt idx="0">
                  <c:v>IMPORTACIONES DE CRUDO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960-44AE-8C37-ABDB2050B831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'2024'!$B$6:$M$6</c:f>
              <c:numCache>
                <c:formatCode>#,##0</c:formatCode>
                <c:ptCount val="12"/>
                <c:pt idx="0">
                  <c:v>6240.1289999999999</c:v>
                </c:pt>
                <c:pt idx="1">
                  <c:v>5087.451</c:v>
                </c:pt>
                <c:pt idx="2">
                  <c:v>4917.4210000000003</c:v>
                </c:pt>
                <c:pt idx="3">
                  <c:v>6291.4139999999998</c:v>
                </c:pt>
                <c:pt idx="4">
                  <c:v>5922.1580000000004</c:v>
                </c:pt>
                <c:pt idx="5">
                  <c:v>5076.2169999999996</c:v>
                </c:pt>
                <c:pt idx="6">
                  <c:v>4951.8909999999996</c:v>
                </c:pt>
                <c:pt idx="7">
                  <c:v>5766.5609999999997</c:v>
                </c:pt>
                <c:pt idx="8">
                  <c:v>4670.3940000000002</c:v>
                </c:pt>
                <c:pt idx="9">
                  <c:v>4962.3389999999999</c:v>
                </c:pt>
                <c:pt idx="10">
                  <c:v>5467.8580000000002</c:v>
                </c:pt>
                <c:pt idx="11">
                  <c:v>5234.32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60-44AE-8C37-ABDB2050B83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libri"/>
                <a:ea typeface="+mn-ea"/>
                <a:cs typeface="+mn-cs"/>
              </a:defRPr>
            </a:pPr>
            <a:r>
              <a:rPr lang="es-ES" sz="1400" b="1">
                <a:solidFill>
                  <a:schemeClr val="tx1">
                    <a:lumMod val="65000"/>
                    <a:lumOff val="35000"/>
                  </a:schemeClr>
                </a:solidFill>
              </a:rPr>
              <a:t>Evolución</a:t>
            </a:r>
            <a:r>
              <a:rPr lang="es-ES" sz="1400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 </a:t>
            </a:r>
            <a:r>
              <a:rPr lang="es-ES" sz="1400" b="1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de Importaciones de Crudo (kt)</a:t>
            </a:r>
            <a:endParaRPr lang="es-ES" sz="1400" b="1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4.5958541649888413E-2"/>
          <c:y val="6.2629545284295901E-2"/>
          <c:w val="0.92698320982414695"/>
          <c:h val="0.669100875476130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'2024'!$A$7</c:f>
              <c:strCache>
                <c:ptCount val="1"/>
                <c:pt idx="0">
                  <c:v>IMPORTACIONES DE PROD. INTERMEDIOS Y MAT. AUXILIARES</c:v>
                </c:pt>
              </c:strCache>
            </c:strRef>
          </c:tx>
          <c:spPr>
            <a:solidFill>
              <a:srgbClr val="EF771D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1.621559161053809E-2"/>
                  <c:y val="-8.381977955397976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6BF-4FCC-B504-1EA2D6C716CA}"/>
                </c:ext>
              </c:extLst>
            </c:dLbl>
            <c:dLbl>
              <c:idx val="2"/>
              <c:layout>
                <c:manualLayout>
                  <c:x val="-1.62155916105380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BF-4FCC-B504-1EA2D6C716CA}"/>
                </c:ext>
              </c:extLst>
            </c:dLbl>
            <c:dLbl>
              <c:idx val="6"/>
              <c:layout>
                <c:manualLayout>
                  <c:x val="2.7025986017563488E-3"/>
                  <c:y val="-4.1909889776989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BF-4FCC-B504-1EA2D6C716CA}"/>
                </c:ext>
              </c:extLst>
            </c:dLbl>
            <c:dLbl>
              <c:idx val="7"/>
              <c:layout>
                <c:manualLayout>
                  <c:x val="-1.891819021229434E-2"/>
                  <c:y val="-1.67639559107959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'2024'!$B$7:$M$7</c:f>
              <c:numCache>
                <c:formatCode>#,##0</c:formatCode>
                <c:ptCount val="12"/>
                <c:pt idx="0">
                  <c:v>120.79399999999987</c:v>
                </c:pt>
                <c:pt idx="1">
                  <c:v>16.909999999999854</c:v>
                </c:pt>
                <c:pt idx="2">
                  <c:v>-95.347999999999956</c:v>
                </c:pt>
                <c:pt idx="3">
                  <c:v>73.523000000000138</c:v>
                </c:pt>
                <c:pt idx="4">
                  <c:v>25.162999999999556</c:v>
                </c:pt>
                <c:pt idx="5">
                  <c:v>-117.7579999999989</c:v>
                </c:pt>
                <c:pt idx="6">
                  <c:v>81.727000000000771</c:v>
                </c:pt>
                <c:pt idx="7">
                  <c:v>93.73700000000008</c:v>
                </c:pt>
                <c:pt idx="8">
                  <c:v>-144.60600000000068</c:v>
                </c:pt>
                <c:pt idx="9">
                  <c:v>67.46100000000024</c:v>
                </c:pt>
                <c:pt idx="10">
                  <c:v>-2.4160000000001673</c:v>
                </c:pt>
                <c:pt idx="11">
                  <c:v>-7.6350000000002183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6BF-4FCC-B504-1EA2D6C716CA}"/>
            </c:ext>
          </c:extLst>
        </c:ser>
        <c:ser>
          <c:idx val="1"/>
          <c:order val="1"/>
          <c:tx>
            <c:strRef>
              <c:f>'2024'!$A$8</c:f>
              <c:strCache>
                <c:ptCount val="1"/>
                <c:pt idx="0">
                  <c:v>VARIACION DE STOCKS DE CRUDOS (Ef-Ei)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7025986017563487E-2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6BF-4FCC-B504-1EA2D6C716CA}"/>
                </c:ext>
              </c:extLst>
            </c:dLbl>
            <c:dLbl>
              <c:idx val="1"/>
              <c:layout>
                <c:manualLayout>
                  <c:x val="0"/>
                  <c:y val="-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6BF-4FCC-B504-1EA2D6C716CA}"/>
                </c:ext>
              </c:extLst>
            </c:dLbl>
            <c:dLbl>
              <c:idx val="5"/>
              <c:layout>
                <c:manualLayout>
                  <c:x val="5.4051972035126976E-3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6BF-4FCC-B504-1EA2D6C716CA}"/>
                </c:ext>
              </c:extLst>
            </c:dLbl>
            <c:dLbl>
              <c:idx val="6"/>
              <c:layout>
                <c:manualLayout>
                  <c:x val="-1.3512993008781842E-2"/>
                  <c:y val="-2.51459338661939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'2024'!$B$8:$M$8</c:f>
              <c:numCache>
                <c:formatCode>#,##0</c:formatCode>
                <c:ptCount val="12"/>
                <c:pt idx="0">
                  <c:v>518.52800000000002</c:v>
                </c:pt>
                <c:pt idx="1">
                  <c:v>-393.85</c:v>
                </c:pt>
                <c:pt idx="2">
                  <c:v>-400.02199999999999</c:v>
                </c:pt>
                <c:pt idx="3">
                  <c:v>913.12300000000005</c:v>
                </c:pt>
                <c:pt idx="4">
                  <c:v>38.106999999999999</c:v>
                </c:pt>
                <c:pt idx="5">
                  <c:v>37.000999999999998</c:v>
                </c:pt>
                <c:pt idx="6">
                  <c:v>-476.55399999999997</c:v>
                </c:pt>
                <c:pt idx="7">
                  <c:v>276.88</c:v>
                </c:pt>
                <c:pt idx="8">
                  <c:v>-344.17</c:v>
                </c:pt>
                <c:pt idx="9">
                  <c:v>-299.13099999999997</c:v>
                </c:pt>
                <c:pt idx="10">
                  <c:v>389.70400000000001</c:v>
                </c:pt>
                <c:pt idx="11">
                  <c:v>-7.3010000000000002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6BF-4FCC-B504-1EA2D6C716CA}"/>
            </c:ext>
          </c:extLst>
        </c:ser>
        <c:ser>
          <c:idx val="2"/>
          <c:order val="2"/>
          <c:tx>
            <c:strRef>
              <c:f>'2024'!$A$9</c:f>
              <c:strCache>
                <c:ptCount val="1"/>
                <c:pt idx="0">
                  <c:v>APROVISIONAMIENTO DE PROD. INTERMEDIOS Y MAT. AUXILIARES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07202361432757E-2"/>
                  <c:y val="-2.085297515667526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6BF-4FCC-B504-1EA2D6C716CA}"/>
                </c:ext>
              </c:extLst>
            </c:dLbl>
            <c:dLbl>
              <c:idx val="1"/>
              <c:layout>
                <c:manualLayout>
                  <c:x val="1.3512993008781718E-2"/>
                  <c:y val="-4.190988977699027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6BF-4FCC-B504-1EA2D6C716CA}"/>
                </c:ext>
              </c:extLst>
            </c:dLbl>
            <c:dLbl>
              <c:idx val="3"/>
              <c:layout>
                <c:manualLayout>
                  <c:x val="2.9728584619319737E-2"/>
                  <c:y val="4.191318976831091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6BF-4FCC-B504-1EA2D6C716CA}"/>
                </c:ext>
              </c:extLst>
            </c:dLbl>
            <c:dLbl>
              <c:idx val="5"/>
              <c:layout>
                <c:manualLayout>
                  <c:x val="-3.5133781822832631E-2"/>
                  <c:y val="-1.676395591079603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6BF-4FCC-B504-1EA2D6C716CA}"/>
                </c:ext>
              </c:extLst>
            </c:dLbl>
            <c:dLbl>
              <c:idx val="7"/>
              <c:layout>
                <c:manualLayout>
                  <c:x val="-9.9094137320469094E-17"/>
                  <c:y val="-6.705582364318381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'2024'!$B$9:$M$9</c:f>
              <c:numCache>
                <c:formatCode>#,##0</c:formatCode>
                <c:ptCount val="12"/>
                <c:pt idx="0">
                  <c:v>149.529</c:v>
                </c:pt>
                <c:pt idx="1">
                  <c:v>33.624000000000024</c:v>
                </c:pt>
                <c:pt idx="2">
                  <c:v>-72.739000000000033</c:v>
                </c:pt>
                <c:pt idx="3">
                  <c:v>124.71199999999999</c:v>
                </c:pt>
                <c:pt idx="4">
                  <c:v>8.1450000000000031</c:v>
                </c:pt>
                <c:pt idx="5">
                  <c:v>-61.539000000000001</c:v>
                </c:pt>
                <c:pt idx="6">
                  <c:v>-38.465000000000032</c:v>
                </c:pt>
                <c:pt idx="7">
                  <c:v>31.04000000000002</c:v>
                </c:pt>
                <c:pt idx="8">
                  <c:v>-168.59300000000002</c:v>
                </c:pt>
                <c:pt idx="9">
                  <c:v>121.61899999999997</c:v>
                </c:pt>
                <c:pt idx="10">
                  <c:v>40.543000000000006</c:v>
                </c:pt>
                <c:pt idx="11">
                  <c:v>-196.66900000000001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F6BF-4FCC-B504-1EA2D6C716CA}"/>
            </c:ext>
          </c:extLst>
        </c:ser>
        <c:ser>
          <c:idx val="3"/>
          <c:order val="3"/>
          <c:tx>
            <c:strRef>
              <c:f>'2024'!$A$10</c:f>
              <c:strCache>
                <c:ptCount val="1"/>
                <c:pt idx="0">
                  <c:v>PRODUCTOS TRASPASADOS Y BACKFLOWS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9.9094137320469094E-17"/>
                  <c:y val="-2.09549448884950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6BF-4FCC-B504-1EA2D6C716CA}"/>
                </c:ext>
              </c:extLst>
            </c:dLbl>
            <c:dLbl>
              <c:idx val="7"/>
              <c:layout>
                <c:manualLayout>
                  <c:x val="3.5133781822832534E-2"/>
                  <c:y val="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'2024'!$B$10:$M$10</c:f>
              <c:numCache>
                <c:formatCode>#,##0</c:formatCode>
                <c:ptCount val="12"/>
                <c:pt idx="0">
                  <c:v>43.488</c:v>
                </c:pt>
                <c:pt idx="1">
                  <c:v>22.417999999999999</c:v>
                </c:pt>
                <c:pt idx="2">
                  <c:v>30.14</c:v>
                </c:pt>
                <c:pt idx="3">
                  <c:v>55.326999999999998</c:v>
                </c:pt>
                <c:pt idx="4">
                  <c:v>27.544999999999998</c:v>
                </c:pt>
                <c:pt idx="5">
                  <c:v>88.7</c:v>
                </c:pt>
                <c:pt idx="6">
                  <c:v>48.823999999999998</c:v>
                </c:pt>
                <c:pt idx="7">
                  <c:v>19.875</c:v>
                </c:pt>
                <c:pt idx="8">
                  <c:v>41.548999999999999</c:v>
                </c:pt>
                <c:pt idx="9">
                  <c:v>57.52</c:v>
                </c:pt>
                <c:pt idx="10">
                  <c:v>50.742999999999995</c:v>
                </c:pt>
                <c:pt idx="11">
                  <c:v>51.342999999999996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F6BF-4FCC-B504-1EA2D6C716CA}"/>
            </c:ext>
          </c:extLst>
        </c:ser>
        <c:ser>
          <c:idx val="4"/>
          <c:order val="4"/>
          <c:tx>
            <c:strRef>
              <c:f>'2024'!$A$11</c:f>
              <c:strCache>
                <c:ptCount val="1"/>
                <c:pt idx="0">
                  <c:v>CONSUMO DIRECTO DE CRUDO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5.4051972035126473E-3"/>
                  <c:y val="1.676395591079595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'2024'!$B$11:$M$11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F6BF-4FCC-B504-1EA2D6C716C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430332944"/>
        <c:axId val="430338192"/>
      </c:barChart>
      <c:valAx>
        <c:axId val="430338192"/>
        <c:scaling>
          <c:orientation val="minMax"/>
        </c:scaling>
        <c:delete val="1"/>
        <c:axPos val="l"/>
        <c:numFmt formatCode="#.##0" sourceLinked="0"/>
        <c:majorTickMark val="none"/>
        <c:minorTickMark val="none"/>
        <c:tickLblPos val="nextTo"/>
        <c:crossAx val="430332944"/>
        <c:crosses val="autoZero"/>
        <c:crossBetween val="between"/>
      </c:valAx>
      <c:dateAx>
        <c:axId val="43033294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0" i="0" u="none" strike="noStrike" kern="1200" cap="all" spc="12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819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9738932643710192E-2"/>
          <c:y val="0.76163502689987939"/>
          <c:w val="0.94052192165550486"/>
          <c:h val="0.2132190392339268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8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Evolución Procesado de Crudo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0"/>
          <c:tx>
            <c:strRef>
              <c:f>'2024'!$A$14</c:f>
              <c:strCache>
                <c:ptCount val="1"/>
                <c:pt idx="0">
                  <c:v>PERDIDAS DE REFINO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'2024'!$B$14:$M$14</c:f>
              <c:numCache>
                <c:formatCode>#,##0</c:formatCode>
                <c:ptCount val="12"/>
                <c:pt idx="0">
                  <c:v>78.90099999999984</c:v>
                </c:pt>
                <c:pt idx="1">
                  <c:v>274.94699999999921</c:v>
                </c:pt>
                <c:pt idx="2">
                  <c:v>95.601000000001477</c:v>
                </c:pt>
                <c:pt idx="3">
                  <c:v>136.45800000000054</c:v>
                </c:pt>
                <c:pt idx="4">
                  <c:v>338.89800000000014</c:v>
                </c:pt>
                <c:pt idx="5">
                  <c:v>70.106000000000677</c:v>
                </c:pt>
                <c:pt idx="6">
                  <c:v>58.321000000000822</c:v>
                </c:pt>
                <c:pt idx="7">
                  <c:v>75.86200000000008</c:v>
                </c:pt>
                <c:pt idx="8">
                  <c:v>4.4819999999990614</c:v>
                </c:pt>
                <c:pt idx="9">
                  <c:v>81.345000000000255</c:v>
                </c:pt>
                <c:pt idx="10">
                  <c:v>205.23399999999947</c:v>
                </c:pt>
                <c:pt idx="11">
                  <c:v>67.05199999999968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FB-4BD8-A84D-38A735A04BD6}"/>
            </c:ext>
          </c:extLst>
        </c:ser>
        <c:ser>
          <c:idx val="1"/>
          <c:order val="1"/>
          <c:tx>
            <c:strRef>
              <c:f>'2024'!$A$13</c:f>
              <c:strCache>
                <c:ptCount val="1"/>
                <c:pt idx="0">
                  <c:v>PROCESADO DE CRUDO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lt1"/>
              </a:solidFill>
              <a:ln>
                <a:solidFill>
                  <a:schemeClr val="dk1">
                    <a:lumMod val="65000"/>
                    <a:lumOff val="35000"/>
                  </a:schemeClr>
                </a:solidFill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  <a:noFill/>
                  <a:ln>
                    <a:noFill/>
                  </a:ln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'2024'!$B$13:$M$13</c:f>
              <c:numCache>
                <c:formatCode>#,##0</c:formatCode>
                <c:ptCount val="12"/>
                <c:pt idx="0">
                  <c:v>5721.6009999999997</c:v>
                </c:pt>
                <c:pt idx="1">
                  <c:v>5481.3770000000004</c:v>
                </c:pt>
                <c:pt idx="2">
                  <c:v>5317.4790000000003</c:v>
                </c:pt>
                <c:pt idx="3">
                  <c:v>5378.3429999999998</c:v>
                </c:pt>
                <c:pt idx="4">
                  <c:v>5884.12</c:v>
                </c:pt>
                <c:pt idx="5">
                  <c:v>5039.2160000000003</c:v>
                </c:pt>
                <c:pt idx="6">
                  <c:v>5428.4449999999997</c:v>
                </c:pt>
                <c:pt idx="7">
                  <c:v>5489.6809999999996</c:v>
                </c:pt>
                <c:pt idx="8">
                  <c:v>5014.5640000000003</c:v>
                </c:pt>
                <c:pt idx="9">
                  <c:v>5261.5910000000003</c:v>
                </c:pt>
                <c:pt idx="10">
                  <c:v>5078.1760000000004</c:v>
                </c:pt>
                <c:pt idx="11">
                  <c:v>5241.8440000000001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FB-4BD8-A84D-38A735A04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430340488"/>
        <c:axId val="430336552"/>
      </c:barChart>
      <c:lineChart>
        <c:grouping val="standard"/>
        <c:varyColors val="0"/>
        <c:ser>
          <c:idx val="0"/>
          <c:order val="2"/>
          <c:tx>
            <c:strRef>
              <c:f>'2024'!$A$12</c:f>
              <c:strCache>
                <c:ptCount val="1"/>
                <c:pt idx="0">
                  <c:v>TOTAL PROCESADO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2-FFFB-4BD8-A84D-38A735A04BD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'2024'!$B$12:$M$12</c:f>
              <c:numCache>
                <c:formatCode>#,##0</c:formatCode>
                <c:ptCount val="12"/>
                <c:pt idx="0">
                  <c:v>5736.3540000000003</c:v>
                </c:pt>
                <c:pt idx="1">
                  <c:v>5487.0810000000001</c:v>
                </c:pt>
                <c:pt idx="2">
                  <c:v>5325.0100000000011</c:v>
                </c:pt>
                <c:pt idx="3">
                  <c:v>5382.4810000000007</c:v>
                </c:pt>
                <c:pt idx="4">
                  <c:v>5928.683</c:v>
                </c:pt>
                <c:pt idx="5">
                  <c:v>5071.6970000000001</c:v>
                </c:pt>
                <c:pt idx="6">
                  <c:v>5597.4610000000002</c:v>
                </c:pt>
                <c:pt idx="7">
                  <c:v>5572.2529999999997</c:v>
                </c:pt>
                <c:pt idx="8">
                  <c:v>5080.0999999999995</c:v>
                </c:pt>
                <c:pt idx="9">
                  <c:v>5264.9530000000013</c:v>
                </c:pt>
                <c:pt idx="10">
                  <c:v>5085.9600000000009</c:v>
                </c:pt>
                <c:pt idx="11">
                  <c:v>5482.2209999999995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FFB-4BD8-A84D-38A735A04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340488"/>
        <c:axId val="430336552"/>
      </c:lineChart>
      <c:valAx>
        <c:axId val="430336552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40488"/>
        <c:crosses val="autoZero"/>
        <c:crossBetween val="between"/>
      </c:valAx>
      <c:dateAx>
        <c:axId val="4303404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6552"/>
        <c:crosses val="autoZero"/>
        <c:auto val="1"/>
        <c:lblOffset val="100"/>
        <c:baseTimeUnit val="months"/>
      </c:date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Gases derivados del refino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8044496512429677E-2"/>
          <c:y val="0.16329335759261288"/>
          <c:w val="0.87497128952882108"/>
          <c:h val="0.62350962688456313"/>
        </c:manualLayout>
      </c:layout>
      <c:lineChart>
        <c:grouping val="standard"/>
        <c:varyColors val="0"/>
        <c:ser>
          <c:idx val="0"/>
          <c:order val="0"/>
          <c:tx>
            <c:strRef>
              <c:f>'2024'!$A$18</c:f>
              <c:strCache>
                <c:ptCount val="1"/>
                <c:pt idx="0">
                  <c:v>Butano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179-441E-9537-95CEB45EB80A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179-441E-9537-95CEB45EB80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4179-441E-9537-95CEB45EB80A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4179-441E-9537-95CEB45EB80A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4179-441E-9537-95CEB45EB80A}"/>
              </c:ext>
            </c:extLst>
          </c:dPt>
          <c:dLbls>
            <c:dLbl>
              <c:idx val="2"/>
              <c:layout>
                <c:manualLayout>
                  <c:x val="0"/>
                  <c:y val="4.53074502929109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79-441E-9537-95CEB45EB80A}"/>
                </c:ext>
              </c:extLst>
            </c:dLbl>
            <c:dLbl>
              <c:idx val="6"/>
              <c:layout>
                <c:manualLayout>
                  <c:x val="-1.9329385558187646E-2"/>
                  <c:y val="-4.53074502929108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79-441E-9537-95CEB45EB8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vertOverflow="clip" horzOverflow="clip"/>
              <a:lstStyle/>
              <a:p>
                <a:pPr>
                  <a:defRPr>
                    <a:ln>
                      <a:noFill/>
                    </a:ln>
                    <a:solidFill>
                      <a:schemeClr val="tx1"/>
                    </a:solidFill>
                  </a:defRPr>
                </a:pPr>
                <a:endParaRPr lang="es-ES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oundRect">
                    <a:avLst/>
                  </a:prstGeom>
                </c15:spPr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'2024'!$B$18:$M$18</c:f>
              <c:numCache>
                <c:formatCode>#,##0</c:formatCode>
                <c:ptCount val="12"/>
                <c:pt idx="0">
                  <c:v>108.21899999999999</c:v>
                </c:pt>
                <c:pt idx="1">
                  <c:v>98.212999999999994</c:v>
                </c:pt>
                <c:pt idx="2">
                  <c:v>102.102</c:v>
                </c:pt>
                <c:pt idx="3">
                  <c:v>82.632000000000005</c:v>
                </c:pt>
                <c:pt idx="4">
                  <c:v>86.576999999999998</c:v>
                </c:pt>
                <c:pt idx="5">
                  <c:v>74.088999999999999</c:v>
                </c:pt>
                <c:pt idx="6">
                  <c:v>93.162000000000006</c:v>
                </c:pt>
                <c:pt idx="7">
                  <c:v>83.454999999999998</c:v>
                </c:pt>
                <c:pt idx="8">
                  <c:v>83.245000000000005</c:v>
                </c:pt>
                <c:pt idx="9">
                  <c:v>88.281000000000006</c:v>
                </c:pt>
                <c:pt idx="10">
                  <c:v>98.221999999999994</c:v>
                </c:pt>
                <c:pt idx="11">
                  <c:v>115.131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4179-441E-9537-95CEB45EB80A}"/>
            </c:ext>
          </c:extLst>
        </c:ser>
        <c:ser>
          <c:idx val="1"/>
          <c:order val="1"/>
          <c:tx>
            <c:strRef>
              <c:f>'2024'!$A$19</c:f>
              <c:strCache>
                <c:ptCount val="1"/>
                <c:pt idx="0">
                  <c:v>Propano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'2024'!$B$19:$M$19</c:f>
              <c:numCache>
                <c:formatCode>#,##0</c:formatCode>
                <c:ptCount val="12"/>
                <c:pt idx="0">
                  <c:v>25.813999999999993</c:v>
                </c:pt>
                <c:pt idx="1">
                  <c:v>15.995000000000005</c:v>
                </c:pt>
                <c:pt idx="2">
                  <c:v>2.8889999999999958</c:v>
                </c:pt>
                <c:pt idx="3">
                  <c:v>8.0939999999999941</c:v>
                </c:pt>
                <c:pt idx="4">
                  <c:v>0</c:v>
                </c:pt>
                <c:pt idx="5">
                  <c:v>0.72100000000000364</c:v>
                </c:pt>
                <c:pt idx="6">
                  <c:v>18.49799999999999</c:v>
                </c:pt>
                <c:pt idx="7">
                  <c:v>0.9620000000000033</c:v>
                </c:pt>
                <c:pt idx="8">
                  <c:v>0</c:v>
                </c:pt>
                <c:pt idx="9">
                  <c:v>26.23899999999999</c:v>
                </c:pt>
                <c:pt idx="10">
                  <c:v>13.199000000000012</c:v>
                </c:pt>
                <c:pt idx="11">
                  <c:v>25.479000000000013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179-441E-9537-95CEB45EB80A}"/>
            </c:ext>
          </c:extLst>
        </c:ser>
        <c:ser>
          <c:idx val="2"/>
          <c:order val="2"/>
          <c:tx>
            <c:strRef>
              <c:f>'2024'!$A$17</c:f>
              <c:strCache>
                <c:ptCount val="1"/>
                <c:pt idx="0">
                  <c:v>Etano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'2024'!$B$17:$M$17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179-441E-9537-95CEB45EB8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430335568"/>
        <c:axId val="430339176"/>
      </c:lineChart>
      <c:valAx>
        <c:axId val="43033917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5568"/>
        <c:crosses val="autoZero"/>
        <c:crossBetween val="between"/>
      </c:valAx>
      <c:dateAx>
        <c:axId val="4303355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9176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271931056992105"/>
          <c:y val="0.93320806190997896"/>
          <c:w val="0.6953456552892836"/>
          <c:h val="5.350698384117191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Gasolinas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'2024'!$A$20</c:f>
              <c:strCache>
                <c:ptCount val="1"/>
                <c:pt idx="0">
                  <c:v>Nafta</c:v>
                </c:pt>
              </c:strCache>
            </c:strRef>
          </c:tx>
          <c:spPr>
            <a:ln w="28575" cap="rnd" cmpd="sng" algn="ctr">
              <a:solidFill>
                <a:srgbClr val="EF771D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'2024'!$B$20:$M$20</c:f>
              <c:numCache>
                <c:formatCode>#,##0</c:formatCode>
                <c:ptCount val="12"/>
                <c:pt idx="0">
                  <c:v>151.98500000000001</c:v>
                </c:pt>
                <c:pt idx="1">
                  <c:v>150.405</c:v>
                </c:pt>
                <c:pt idx="2">
                  <c:v>125.714</c:v>
                </c:pt>
                <c:pt idx="3">
                  <c:v>152.62799999999999</c:v>
                </c:pt>
                <c:pt idx="4">
                  <c:v>162.30500000000001</c:v>
                </c:pt>
                <c:pt idx="5">
                  <c:v>137.31100000000001</c:v>
                </c:pt>
                <c:pt idx="6">
                  <c:v>142.62</c:v>
                </c:pt>
                <c:pt idx="7">
                  <c:v>164.34399999999999</c:v>
                </c:pt>
                <c:pt idx="8">
                  <c:v>132.96299999999999</c:v>
                </c:pt>
                <c:pt idx="9">
                  <c:v>138.797</c:v>
                </c:pt>
                <c:pt idx="10">
                  <c:v>111.91200000000001</c:v>
                </c:pt>
                <c:pt idx="11">
                  <c:v>164.97399999999999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09-418C-B9B7-45BB1177A3FA}"/>
            </c:ext>
          </c:extLst>
        </c:ser>
        <c:ser>
          <c:idx val="1"/>
          <c:order val="1"/>
          <c:tx>
            <c:strRef>
              <c:f>'2024'!$A$21</c:f>
              <c:strCache>
                <c:ptCount val="1"/>
                <c:pt idx="0">
                  <c:v>Gasolina 97 I.O.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'2024'!$B$21:$M$21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A09-418C-B9B7-45BB1177A3FA}"/>
            </c:ext>
          </c:extLst>
        </c:ser>
        <c:ser>
          <c:idx val="2"/>
          <c:order val="2"/>
          <c:tx>
            <c:strRef>
              <c:f>'2024'!$A$22</c:f>
              <c:strCache>
                <c:ptCount val="1"/>
                <c:pt idx="0">
                  <c:v>Gasolina 95 I.O.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'2024'!$B$22:$M$22</c:f>
              <c:numCache>
                <c:formatCode>#,##0</c:formatCode>
                <c:ptCount val="12"/>
                <c:pt idx="0">
                  <c:v>104.45099999999999</c:v>
                </c:pt>
                <c:pt idx="1">
                  <c:v>100.797</c:v>
                </c:pt>
                <c:pt idx="2">
                  <c:v>107.002</c:v>
                </c:pt>
                <c:pt idx="3">
                  <c:v>102.251</c:v>
                </c:pt>
                <c:pt idx="4">
                  <c:v>104.72499999999999</c:v>
                </c:pt>
                <c:pt idx="5">
                  <c:v>95.748999999999995</c:v>
                </c:pt>
                <c:pt idx="6">
                  <c:v>79.078999999999994</c:v>
                </c:pt>
                <c:pt idx="7">
                  <c:v>65.63</c:v>
                </c:pt>
                <c:pt idx="8">
                  <c:v>90.228999999999999</c:v>
                </c:pt>
                <c:pt idx="9">
                  <c:v>87.45</c:v>
                </c:pt>
                <c:pt idx="10">
                  <c:v>103.256</c:v>
                </c:pt>
                <c:pt idx="11">
                  <c:v>97.415000000000006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A09-418C-B9B7-45BB1177A3FA}"/>
            </c:ext>
          </c:extLst>
        </c:ser>
        <c:ser>
          <c:idx val="3"/>
          <c:order val="3"/>
          <c:tx>
            <c:strRef>
              <c:f>'2024'!$A$23</c:f>
              <c:strCache>
                <c:ptCount val="1"/>
                <c:pt idx="0">
                  <c:v>Gasolina 98 I.O.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'2024'!$B$23:$M$23</c:f>
              <c:numCache>
                <c:formatCode>#,##0</c:formatCode>
                <c:ptCount val="12"/>
                <c:pt idx="0">
                  <c:v>4.3689999999999998</c:v>
                </c:pt>
                <c:pt idx="1">
                  <c:v>10.430999999999999</c:v>
                </c:pt>
                <c:pt idx="2">
                  <c:v>6.8049999999999997</c:v>
                </c:pt>
                <c:pt idx="3">
                  <c:v>8.7070000000000007</c:v>
                </c:pt>
                <c:pt idx="4">
                  <c:v>13.742000000000001</c:v>
                </c:pt>
                <c:pt idx="5">
                  <c:v>10.093999999999999</c:v>
                </c:pt>
                <c:pt idx="6">
                  <c:v>7.5359999999999996</c:v>
                </c:pt>
                <c:pt idx="7">
                  <c:v>4.6150000000000002</c:v>
                </c:pt>
                <c:pt idx="8">
                  <c:v>12.417</c:v>
                </c:pt>
                <c:pt idx="9">
                  <c:v>6.4210000000000003</c:v>
                </c:pt>
                <c:pt idx="10">
                  <c:v>4.7949999999999999</c:v>
                </c:pt>
                <c:pt idx="11">
                  <c:v>5.5869999999999997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A09-418C-B9B7-45BB1177A3FA}"/>
            </c:ext>
          </c:extLst>
        </c:ser>
        <c:ser>
          <c:idx val="4"/>
          <c:order val="4"/>
          <c:tx>
            <c:strRef>
              <c:f>'2024'!$A$24</c:f>
              <c:strCache>
                <c:ptCount val="1"/>
                <c:pt idx="0">
                  <c:v>Gasolina de Aviación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'2024'!$B$24:$M$24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A09-418C-B9B7-45BB1177A3FA}"/>
            </c:ext>
          </c:extLst>
        </c:ser>
        <c:ser>
          <c:idx val="5"/>
          <c:order val="5"/>
          <c:tx>
            <c:strRef>
              <c:f>'2024'!$A$25</c:f>
              <c:strCache>
                <c:ptCount val="1"/>
                <c:pt idx="0">
                  <c:v>Otras Gasolinas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'2024'!$B$25:$M$25</c:f>
              <c:numCache>
                <c:formatCode>#,##0</c:formatCode>
                <c:ptCount val="12"/>
                <c:pt idx="0">
                  <c:v>746.77500000000009</c:v>
                </c:pt>
                <c:pt idx="1">
                  <c:v>593.98899999999992</c:v>
                </c:pt>
                <c:pt idx="2">
                  <c:v>650.19499999999994</c:v>
                </c:pt>
                <c:pt idx="3">
                  <c:v>724.36799999999994</c:v>
                </c:pt>
                <c:pt idx="4">
                  <c:v>757.63400000000001</c:v>
                </c:pt>
                <c:pt idx="5">
                  <c:v>648.99199999999996</c:v>
                </c:pt>
                <c:pt idx="6">
                  <c:v>799.53599999999994</c:v>
                </c:pt>
                <c:pt idx="7">
                  <c:v>803.70100000000002</c:v>
                </c:pt>
                <c:pt idx="8">
                  <c:v>722.02499999999998</c:v>
                </c:pt>
                <c:pt idx="9">
                  <c:v>670.45699999999999</c:v>
                </c:pt>
                <c:pt idx="10">
                  <c:v>674.22900000000004</c:v>
                </c:pt>
                <c:pt idx="11">
                  <c:v>743.75700000000006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A09-418C-B9B7-45BB1177A3FA}"/>
            </c:ext>
          </c:extLst>
        </c:ser>
        <c:ser>
          <c:idx val="6"/>
          <c:order val="6"/>
          <c:tx>
            <c:strRef>
              <c:f>'2024'!$A$27</c:f>
              <c:strCache>
                <c:ptCount val="1"/>
                <c:pt idx="0">
                  <c:v>Gasolinas Mezcla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'2024'!$B$27:$H$27</c:f>
              <c:numCache>
                <c:formatCode>#,##0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A09-418C-B9B7-45BB1177A3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096472"/>
        <c:axId val="431096800"/>
      </c:lineChart>
      <c:valAx>
        <c:axId val="43109680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472"/>
        <c:crosses val="autoZero"/>
        <c:crossBetween val="between"/>
      </c:valAx>
      <c:dateAx>
        <c:axId val="4310964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80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Querosenos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'2024'!$A$28</c:f>
              <c:strCache>
                <c:ptCount val="1"/>
                <c:pt idx="0">
                  <c:v>Queroseno aviac. Jet A1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'2024'!$B$28:$M$28</c:f>
              <c:numCache>
                <c:formatCode>#,##0</c:formatCode>
                <c:ptCount val="12"/>
                <c:pt idx="0">
                  <c:v>51.722999999999999</c:v>
                </c:pt>
                <c:pt idx="1">
                  <c:v>47.917000000000002</c:v>
                </c:pt>
                <c:pt idx="2">
                  <c:v>45.72</c:v>
                </c:pt>
                <c:pt idx="3">
                  <c:v>40.491</c:v>
                </c:pt>
                <c:pt idx="4">
                  <c:v>40.094000000000001</c:v>
                </c:pt>
                <c:pt idx="5">
                  <c:v>36.81</c:v>
                </c:pt>
                <c:pt idx="6">
                  <c:v>38.354999999999997</c:v>
                </c:pt>
                <c:pt idx="7">
                  <c:v>34.292000000000002</c:v>
                </c:pt>
                <c:pt idx="8">
                  <c:v>47.48</c:v>
                </c:pt>
                <c:pt idx="9">
                  <c:v>49.314999999999998</c:v>
                </c:pt>
                <c:pt idx="10">
                  <c:v>45.402000000000001</c:v>
                </c:pt>
                <c:pt idx="11">
                  <c:v>47.030999999999999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B2-42A2-916D-71D1BABE954D}"/>
            </c:ext>
          </c:extLst>
        </c:ser>
        <c:ser>
          <c:idx val="1"/>
          <c:order val="1"/>
          <c:tx>
            <c:strRef>
              <c:f>'2024'!$A$29</c:f>
              <c:strCache>
                <c:ptCount val="1"/>
                <c:pt idx="0">
                  <c:v>Queroseno aviac. Jet A2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elete val="1"/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'2024'!$B$29:$M$29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B2-42A2-916D-71D1BABE954D}"/>
            </c:ext>
          </c:extLst>
        </c:ser>
        <c:ser>
          <c:idx val="2"/>
          <c:order val="2"/>
          <c:tx>
            <c:strRef>
              <c:f>'2024'!$A$30</c:f>
              <c:strCache>
                <c:ptCount val="1"/>
                <c:pt idx="0">
                  <c:v>Otros Querosenos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'2024'!$B$30:$M$30</c:f>
              <c:numCache>
                <c:formatCode>#,##0</c:formatCode>
                <c:ptCount val="12"/>
                <c:pt idx="0">
                  <c:v>895.24099999999999</c:v>
                </c:pt>
                <c:pt idx="1">
                  <c:v>847.84</c:v>
                </c:pt>
                <c:pt idx="2">
                  <c:v>801.21</c:v>
                </c:pt>
                <c:pt idx="3">
                  <c:v>767.08299999999997</c:v>
                </c:pt>
                <c:pt idx="4">
                  <c:v>891.09799999999996</c:v>
                </c:pt>
                <c:pt idx="5">
                  <c:v>791.65700000000004</c:v>
                </c:pt>
                <c:pt idx="6">
                  <c:v>862.50699999999995</c:v>
                </c:pt>
                <c:pt idx="7">
                  <c:v>850.21199999999999</c:v>
                </c:pt>
                <c:pt idx="8">
                  <c:v>770.25</c:v>
                </c:pt>
                <c:pt idx="9">
                  <c:v>846.28200000000004</c:v>
                </c:pt>
                <c:pt idx="10">
                  <c:v>736.69100000000003</c:v>
                </c:pt>
                <c:pt idx="11">
                  <c:v>784.56600000000003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B2-42A2-916D-71D1BABE954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3128"/>
        <c:axId val="431324768"/>
      </c:lineChart>
      <c:valAx>
        <c:axId val="43132476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3128"/>
        <c:crosses val="autoZero"/>
        <c:crossBetween val="between"/>
      </c:valAx>
      <c:dateAx>
        <c:axId val="43132312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76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000" b="0" i="0" u="none" strike="noStrike" kern="1200" baseline="0">
              <a:solidFill>
                <a:srgbClr val="000000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'2024'!$A$31</c:f>
              <c:strCache>
                <c:ptCount val="1"/>
                <c:pt idx="0">
                  <c:v>Gasóleo 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'2024'!$B$31:$M$31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53-420F-9647-F9C89A5D104C}"/>
            </c:ext>
          </c:extLst>
        </c:ser>
        <c:ser>
          <c:idx val="1"/>
          <c:order val="1"/>
          <c:tx>
            <c:strRef>
              <c:f>'2024'!$A$32</c:f>
              <c:strCache>
                <c:ptCount val="1"/>
                <c:pt idx="0">
                  <c:v>Gasóleo A 10 PPM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'2024'!$B$32:$M$32</c:f>
              <c:numCache>
                <c:formatCode>#,##0</c:formatCode>
                <c:ptCount val="12"/>
                <c:pt idx="0">
                  <c:v>245.779</c:v>
                </c:pt>
                <c:pt idx="1">
                  <c:v>218.411</c:v>
                </c:pt>
                <c:pt idx="2">
                  <c:v>305.12599999999998</c:v>
                </c:pt>
                <c:pt idx="3">
                  <c:v>271.846</c:v>
                </c:pt>
                <c:pt idx="4">
                  <c:v>268.11700000000002</c:v>
                </c:pt>
                <c:pt idx="5">
                  <c:v>189.79</c:v>
                </c:pt>
                <c:pt idx="6">
                  <c:v>250.96199999999999</c:v>
                </c:pt>
                <c:pt idx="7">
                  <c:v>303.04199999999997</c:v>
                </c:pt>
                <c:pt idx="8">
                  <c:v>251.733</c:v>
                </c:pt>
                <c:pt idx="9">
                  <c:v>235.096</c:v>
                </c:pt>
                <c:pt idx="10">
                  <c:v>235.82900000000001</c:v>
                </c:pt>
                <c:pt idx="11">
                  <c:v>244.75200000000001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53-420F-9647-F9C89A5D104C}"/>
            </c:ext>
          </c:extLst>
        </c:ser>
        <c:ser>
          <c:idx val="2"/>
          <c:order val="2"/>
          <c:tx>
            <c:strRef>
              <c:f>'2024'!$A$33</c:f>
              <c:strCache>
                <c:ptCount val="1"/>
                <c:pt idx="0">
                  <c:v>Gasóleo B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'2024'!$B$33:$M$33</c:f>
              <c:numCache>
                <c:formatCode>#,##0</c:formatCode>
                <c:ptCount val="12"/>
                <c:pt idx="0">
                  <c:v>35.982999999999997</c:v>
                </c:pt>
                <c:pt idx="1">
                  <c:v>46.74</c:v>
                </c:pt>
                <c:pt idx="2">
                  <c:v>23.43</c:v>
                </c:pt>
                <c:pt idx="3">
                  <c:v>27.341000000000001</c:v>
                </c:pt>
                <c:pt idx="4">
                  <c:v>34.960999999999999</c:v>
                </c:pt>
                <c:pt idx="5">
                  <c:v>22.378</c:v>
                </c:pt>
                <c:pt idx="6">
                  <c:v>28.337</c:v>
                </c:pt>
                <c:pt idx="7">
                  <c:v>19.952000000000002</c:v>
                </c:pt>
                <c:pt idx="8">
                  <c:v>21.782</c:v>
                </c:pt>
                <c:pt idx="9">
                  <c:v>27.518000000000001</c:v>
                </c:pt>
                <c:pt idx="10">
                  <c:v>39.524999999999999</c:v>
                </c:pt>
                <c:pt idx="11">
                  <c:v>38.040999999999997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753-420F-9647-F9C89A5D104C}"/>
            </c:ext>
          </c:extLst>
        </c:ser>
        <c:ser>
          <c:idx val="3"/>
          <c:order val="3"/>
          <c:tx>
            <c:strRef>
              <c:f>'2024'!$A$34</c:f>
              <c:strCache>
                <c:ptCount val="1"/>
                <c:pt idx="0">
                  <c:v>Gasóleo C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'2024'!$B$34:$M$34</c:f>
              <c:numCache>
                <c:formatCode>#,##0</c:formatCode>
                <c:ptCount val="12"/>
                <c:pt idx="0">
                  <c:v>13.041</c:v>
                </c:pt>
                <c:pt idx="1">
                  <c:v>19.974</c:v>
                </c:pt>
                <c:pt idx="2">
                  <c:v>7.0830000000000002</c:v>
                </c:pt>
                <c:pt idx="3">
                  <c:v>6.8419999999999996</c:v>
                </c:pt>
                <c:pt idx="4">
                  <c:v>7.3479999999999999</c:v>
                </c:pt>
                <c:pt idx="5">
                  <c:v>4.2850000000000001</c:v>
                </c:pt>
                <c:pt idx="6">
                  <c:v>3.3490000000000002</c:v>
                </c:pt>
                <c:pt idx="7">
                  <c:v>2.9279999999999999</c:v>
                </c:pt>
                <c:pt idx="8">
                  <c:v>4.9349999999999996</c:v>
                </c:pt>
                <c:pt idx="9">
                  <c:v>15.093999999999999</c:v>
                </c:pt>
                <c:pt idx="10">
                  <c:v>15.789</c:v>
                </c:pt>
                <c:pt idx="11">
                  <c:v>11.247999999999999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753-420F-9647-F9C89A5D104C}"/>
            </c:ext>
          </c:extLst>
        </c:ser>
        <c:ser>
          <c:idx val="4"/>
          <c:order val="4"/>
          <c:tx>
            <c:strRef>
              <c:f>'2024'!$A$35</c:f>
              <c:strCache>
                <c:ptCount val="1"/>
                <c:pt idx="0">
                  <c:v>Gasóleo para uso marítimo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'2024'!$B$35:$M$35</c:f>
              <c:numCache>
                <c:formatCode>#,##0</c:formatCode>
                <c:ptCount val="12"/>
                <c:pt idx="0">
                  <c:v>63.41</c:v>
                </c:pt>
                <c:pt idx="1">
                  <c:v>61.116</c:v>
                </c:pt>
                <c:pt idx="2">
                  <c:v>61.688000000000002</c:v>
                </c:pt>
                <c:pt idx="3">
                  <c:v>54.295999999999999</c:v>
                </c:pt>
                <c:pt idx="4">
                  <c:v>24.411000000000001</c:v>
                </c:pt>
                <c:pt idx="5">
                  <c:v>31.623000000000001</c:v>
                </c:pt>
                <c:pt idx="6">
                  <c:v>46.93</c:v>
                </c:pt>
                <c:pt idx="7">
                  <c:v>55.896999999999998</c:v>
                </c:pt>
                <c:pt idx="8">
                  <c:v>58.713999999999999</c:v>
                </c:pt>
                <c:pt idx="9">
                  <c:v>68.896000000000001</c:v>
                </c:pt>
                <c:pt idx="10">
                  <c:v>71.676000000000002</c:v>
                </c:pt>
                <c:pt idx="11">
                  <c:v>62.74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753-420F-9647-F9C89A5D104C}"/>
            </c:ext>
          </c:extLst>
        </c:ser>
        <c:ser>
          <c:idx val="5"/>
          <c:order val="5"/>
          <c:tx>
            <c:strRef>
              <c:f>'2024'!$A$36</c:f>
              <c:strCache>
                <c:ptCount val="1"/>
                <c:pt idx="0">
                  <c:v>Diésel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'2024'!$B$36:$M$36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753-420F-9647-F9C89A5D104C}"/>
            </c:ext>
          </c:extLst>
        </c:ser>
        <c:ser>
          <c:idx val="6"/>
          <c:order val="6"/>
          <c:tx>
            <c:strRef>
              <c:f>'2024'!$A$37</c:f>
              <c:strCache>
                <c:ptCount val="1"/>
                <c:pt idx="0">
                  <c:v>Otros Gasóleos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'2024'!$B$37:$M$37</c:f>
              <c:numCache>
                <c:formatCode>#,##0</c:formatCode>
                <c:ptCount val="12"/>
                <c:pt idx="0">
                  <c:v>1940.8810000000001</c:v>
                </c:pt>
                <c:pt idx="1">
                  <c:v>1778.627</c:v>
                </c:pt>
                <c:pt idx="2">
                  <c:v>1771.9349999999999</c:v>
                </c:pt>
                <c:pt idx="3">
                  <c:v>1729.0639999999999</c:v>
                </c:pt>
                <c:pt idx="4">
                  <c:v>1853.5090000000002</c:v>
                </c:pt>
                <c:pt idx="5">
                  <c:v>1689.8719999999998</c:v>
                </c:pt>
                <c:pt idx="6">
                  <c:v>1784.0399999999997</c:v>
                </c:pt>
                <c:pt idx="7">
                  <c:v>1724.0339999999999</c:v>
                </c:pt>
                <c:pt idx="8">
                  <c:v>1620.6510000000001</c:v>
                </c:pt>
                <c:pt idx="9">
                  <c:v>1733.66</c:v>
                </c:pt>
                <c:pt idx="10">
                  <c:v>1528.53</c:v>
                </c:pt>
                <c:pt idx="11">
                  <c:v>1780.252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753-420F-9647-F9C89A5D1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325096"/>
        <c:axId val="431326080"/>
      </c:lineChart>
      <c:valAx>
        <c:axId val="43132608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5096"/>
        <c:crosses val="autoZero"/>
        <c:crossBetween val="between"/>
      </c:valAx>
      <c:dateAx>
        <c:axId val="43132509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608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Bio's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'2024'!$A$26</c:f>
              <c:strCache>
                <c:ptCount val="1"/>
                <c:pt idx="0">
                  <c:v>Bioetanol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'2024'!$B$26:$M$26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66-41AD-A555-7BC5DFDBDBF9}"/>
            </c:ext>
          </c:extLst>
        </c:ser>
        <c:ser>
          <c:idx val="1"/>
          <c:order val="1"/>
          <c:tx>
            <c:strRef>
              <c:f>'2024'!$A$38</c:f>
              <c:strCache>
                <c:ptCount val="1"/>
                <c:pt idx="0">
                  <c:v>Biodiesel</c:v>
                </c:pt>
              </c:strCache>
            </c:strRef>
          </c:tx>
          <c:spPr>
            <a:ln w="28575" cap="rnd" cmpd="sng" algn="ctr">
              <a:solidFill>
                <a:schemeClr val="accent2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'2024'!$B$38:$M$38</c:f>
              <c:numCache>
                <c:formatCode>#,##0</c:formatCode>
                <c:ptCount val="12"/>
                <c:pt idx="0">
                  <c:v>0</c:v>
                </c:pt>
                <c:pt idx="1">
                  <c:v>7.27</c:v>
                </c:pt>
                <c:pt idx="2">
                  <c:v>18.771000000000001</c:v>
                </c:pt>
                <c:pt idx="3">
                  <c:v>22.597000000000001</c:v>
                </c:pt>
                <c:pt idx="4">
                  <c:v>42.872</c:v>
                </c:pt>
                <c:pt idx="5">
                  <c:v>37.173000000000002</c:v>
                </c:pt>
                <c:pt idx="6">
                  <c:v>38.064</c:v>
                </c:pt>
                <c:pt idx="7">
                  <c:v>40.988</c:v>
                </c:pt>
                <c:pt idx="8">
                  <c:v>27.469000000000001</c:v>
                </c:pt>
                <c:pt idx="9">
                  <c:v>23.576000000000001</c:v>
                </c:pt>
                <c:pt idx="10">
                  <c:v>36.21</c:v>
                </c:pt>
                <c:pt idx="11">
                  <c:v>14.125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66-41AD-A555-7BC5DFDBDBF9}"/>
            </c:ext>
          </c:extLst>
        </c:ser>
        <c:ser>
          <c:idx val="2"/>
          <c:order val="2"/>
          <c:tx>
            <c:strRef>
              <c:f>'2024'!$A$39</c:f>
              <c:strCache>
                <c:ptCount val="1"/>
                <c:pt idx="0">
                  <c:v>Biodiesel Mezcla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'2024'!$B$39:$M$39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66-41AD-A555-7BC5DFDBDB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2472"/>
        <c:axId val="431321488"/>
      </c:lineChart>
      <c:valAx>
        <c:axId val="43132148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2472"/>
        <c:crosses val="autoZero"/>
        <c:crossBetween val="between"/>
      </c:valAx>
      <c:dateAx>
        <c:axId val="43132247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148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Fuelóleos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'2024'!$A$40</c:f>
              <c:strCache>
                <c:ptCount val="1"/>
                <c:pt idx="0">
                  <c:v>Fuelóleo 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'2024'!$B$40:$M$40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2A-4765-A493-B5B9727B508D}"/>
            </c:ext>
          </c:extLst>
        </c:ser>
        <c:ser>
          <c:idx val="1"/>
          <c:order val="1"/>
          <c:tx>
            <c:strRef>
              <c:f>'2024'!$A$41</c:f>
              <c:strCache>
                <c:ptCount val="1"/>
                <c:pt idx="0">
                  <c:v>Fuelóleo de refineria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'2024'!$B$41:$M$41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3.6320000000000001</c:v>
                </c:pt>
                <c:pt idx="3">
                  <c:v>0</c:v>
                </c:pt>
                <c:pt idx="4">
                  <c:v>1.3049999999999999</c:v>
                </c:pt>
                <c:pt idx="5">
                  <c:v>0.7</c:v>
                </c:pt>
                <c:pt idx="6">
                  <c:v>0.152</c:v>
                </c:pt>
                <c:pt idx="7">
                  <c:v>0</c:v>
                </c:pt>
                <c:pt idx="8">
                  <c:v>0</c:v>
                </c:pt>
                <c:pt idx="9">
                  <c:v>2.8000000000000001E-2</c:v>
                </c:pt>
                <c:pt idx="10">
                  <c:v>1.2E-2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2A-4765-A493-B5B9727B508D}"/>
            </c:ext>
          </c:extLst>
        </c:ser>
        <c:ser>
          <c:idx val="2"/>
          <c:order val="2"/>
          <c:tx>
            <c:strRef>
              <c:f>'2024'!$A$42</c:f>
              <c:strCache>
                <c:ptCount val="1"/>
                <c:pt idx="0">
                  <c:v>Otros combustibles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'2024'!$B$42:$M$42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2A-4765-A493-B5B9727B508D}"/>
            </c:ext>
          </c:extLst>
        </c:ser>
        <c:ser>
          <c:idx val="3"/>
          <c:order val="3"/>
          <c:tx>
            <c:strRef>
              <c:f>'2024'!$A$43</c:f>
              <c:strCache>
                <c:ptCount val="1"/>
                <c:pt idx="0">
                  <c:v>Otros Fuelóleos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"/>
                  <c:y val="-4.93589693762397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2A-4765-A493-B5B9727B508D}"/>
                </c:ext>
              </c:extLst>
            </c:dLbl>
            <c:dLbl>
              <c:idx val="5"/>
              <c:layout>
                <c:manualLayout>
                  <c:x val="8.076006883047028E-3"/>
                  <c:y val="-4.9358969376239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A2A-4765-A493-B5B9727B50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'2024'!$B$43:$M$43</c:f>
              <c:numCache>
                <c:formatCode>#,##0</c:formatCode>
                <c:ptCount val="12"/>
                <c:pt idx="0">
                  <c:v>450.274</c:v>
                </c:pt>
                <c:pt idx="1">
                  <c:v>328.14400000000001</c:v>
                </c:pt>
                <c:pt idx="2">
                  <c:v>407.99200000000002</c:v>
                </c:pt>
                <c:pt idx="3">
                  <c:v>432.93200000000002</c:v>
                </c:pt>
                <c:pt idx="4">
                  <c:v>451.53199999999998</c:v>
                </c:pt>
                <c:pt idx="5">
                  <c:v>425.28399999999999</c:v>
                </c:pt>
                <c:pt idx="6">
                  <c:v>416.22699999999998</c:v>
                </c:pt>
                <c:pt idx="7">
                  <c:v>384.89699999999999</c:v>
                </c:pt>
                <c:pt idx="8">
                  <c:v>376.89400000000001</c:v>
                </c:pt>
                <c:pt idx="9">
                  <c:v>322.41199999999998</c:v>
                </c:pt>
                <c:pt idx="10">
                  <c:v>271.10300000000001</c:v>
                </c:pt>
                <c:pt idx="11">
                  <c:v>383.76700000000005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A2A-4765-A493-B5B9727B508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7392"/>
        <c:axId val="431324440"/>
      </c:lineChart>
      <c:valAx>
        <c:axId val="43132444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00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7392"/>
        <c:crosses val="autoZero"/>
        <c:crossBetween val="between"/>
      </c:valAx>
      <c:dateAx>
        <c:axId val="43132739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44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Productos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'2024'!$A$44</c:f>
              <c:strCache>
                <c:ptCount val="1"/>
                <c:pt idx="0">
                  <c:v>Aceites y bases lubricantes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'2024'!$B$44:$M$44</c:f>
              <c:numCache>
                <c:formatCode>#,##0</c:formatCode>
                <c:ptCount val="12"/>
                <c:pt idx="0">
                  <c:v>26.797000000000001</c:v>
                </c:pt>
                <c:pt idx="1">
                  <c:v>22.974</c:v>
                </c:pt>
                <c:pt idx="2">
                  <c:v>24.135999999999999</c:v>
                </c:pt>
                <c:pt idx="3">
                  <c:v>24.268999999999998</c:v>
                </c:pt>
                <c:pt idx="4">
                  <c:v>21.446000000000002</c:v>
                </c:pt>
                <c:pt idx="5">
                  <c:v>19.661000000000001</c:v>
                </c:pt>
                <c:pt idx="6">
                  <c:v>29.905000000000001</c:v>
                </c:pt>
                <c:pt idx="7">
                  <c:v>26.986000000000001</c:v>
                </c:pt>
                <c:pt idx="8">
                  <c:v>23.268000000000001</c:v>
                </c:pt>
                <c:pt idx="9">
                  <c:v>23.844999999999999</c:v>
                </c:pt>
                <c:pt idx="10">
                  <c:v>12.422000000000001</c:v>
                </c:pt>
                <c:pt idx="11">
                  <c:v>24.454999999999998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E7-4C48-A6C3-02C47D367978}"/>
            </c:ext>
          </c:extLst>
        </c:ser>
        <c:ser>
          <c:idx val="1"/>
          <c:order val="1"/>
          <c:tx>
            <c:strRef>
              <c:f>'2024'!$A$45</c:f>
              <c:strCache>
                <c:ptCount val="1"/>
                <c:pt idx="0">
                  <c:v>Productos asfálticos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4.1648917993095058E-2"/>
                  <c:y val="6.20563273910943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E7-4C48-A6C3-02C47D367978}"/>
                </c:ext>
              </c:extLst>
            </c:dLbl>
            <c:dLbl>
              <c:idx val="6"/>
              <c:layout>
                <c:manualLayout>
                  <c:x val="-3.3377059117520855E-2"/>
                  <c:y val="5.31257405530915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E7-4C48-A6C3-02C47D367978}"/>
                </c:ext>
              </c:extLst>
            </c:dLbl>
            <c:dLbl>
              <c:idx val="7"/>
              <c:layout>
                <c:manualLayout>
                  <c:x val="-4.9920776868669366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E7-4C48-A6C3-02C47D36797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'2024'!$B$45:$M$45</c:f>
              <c:numCache>
                <c:formatCode>#,##0</c:formatCode>
                <c:ptCount val="12"/>
                <c:pt idx="0">
                  <c:v>120.872</c:v>
                </c:pt>
                <c:pt idx="1">
                  <c:v>138.21100000000001</c:v>
                </c:pt>
                <c:pt idx="2">
                  <c:v>163.62700000000001</c:v>
                </c:pt>
                <c:pt idx="3">
                  <c:v>177.46</c:v>
                </c:pt>
                <c:pt idx="4">
                  <c:v>137.023</c:v>
                </c:pt>
                <c:pt idx="5">
                  <c:v>156.24799999999999</c:v>
                </c:pt>
                <c:pt idx="6">
                  <c:v>175.59800000000001</c:v>
                </c:pt>
                <c:pt idx="7">
                  <c:v>174.352</c:v>
                </c:pt>
                <c:pt idx="8">
                  <c:v>180.56399999999999</c:v>
                </c:pt>
                <c:pt idx="9">
                  <c:v>165.001</c:v>
                </c:pt>
                <c:pt idx="10">
                  <c:v>123.381</c:v>
                </c:pt>
                <c:pt idx="11">
                  <c:v>156.809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6E7-4C48-A6C3-02C47D367978}"/>
            </c:ext>
          </c:extLst>
        </c:ser>
        <c:ser>
          <c:idx val="2"/>
          <c:order val="2"/>
          <c:tx>
            <c:strRef>
              <c:f>'2024'!$A$46</c:f>
              <c:strCache>
                <c:ptCount val="1"/>
                <c:pt idx="0">
                  <c:v>Disolventes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'2024'!$B$46:$M$46</c:f>
              <c:numCache>
                <c:formatCode>#,##0</c:formatCode>
                <c:ptCount val="12"/>
                <c:pt idx="0">
                  <c:v>8.6430000000000007</c:v>
                </c:pt>
                <c:pt idx="1">
                  <c:v>12.215999999999999</c:v>
                </c:pt>
                <c:pt idx="2">
                  <c:v>12.93</c:v>
                </c:pt>
                <c:pt idx="3">
                  <c:v>10.641999999999999</c:v>
                </c:pt>
                <c:pt idx="4">
                  <c:v>10.715</c:v>
                </c:pt>
                <c:pt idx="5">
                  <c:v>10.055999999999999</c:v>
                </c:pt>
                <c:pt idx="6">
                  <c:v>11.307</c:v>
                </c:pt>
                <c:pt idx="7">
                  <c:v>9.4489999999999998</c:v>
                </c:pt>
                <c:pt idx="8">
                  <c:v>10.199</c:v>
                </c:pt>
                <c:pt idx="9">
                  <c:v>9.4269999999999996</c:v>
                </c:pt>
                <c:pt idx="10">
                  <c:v>0</c:v>
                </c:pt>
                <c:pt idx="11">
                  <c:v>5.6609999999999996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6E7-4C48-A6C3-02C47D367978}"/>
            </c:ext>
          </c:extLst>
        </c:ser>
        <c:ser>
          <c:idx val="3"/>
          <c:order val="3"/>
          <c:tx>
            <c:strRef>
              <c:f>'2024'!$A$47</c:f>
              <c:strCache>
                <c:ptCount val="1"/>
                <c:pt idx="0">
                  <c:v>Parafinas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'2024'!$B$47:$M$47</c:f>
              <c:numCache>
                <c:formatCode>#,##0</c:formatCode>
                <c:ptCount val="12"/>
                <c:pt idx="0">
                  <c:v>6.7759999999999998</c:v>
                </c:pt>
                <c:pt idx="1">
                  <c:v>6.7039999999999997</c:v>
                </c:pt>
                <c:pt idx="2">
                  <c:v>6.0789999999999997</c:v>
                </c:pt>
                <c:pt idx="3">
                  <c:v>6.58</c:v>
                </c:pt>
                <c:pt idx="4">
                  <c:v>6.9459999999999997</c:v>
                </c:pt>
                <c:pt idx="5">
                  <c:v>6.45</c:v>
                </c:pt>
                <c:pt idx="6">
                  <c:v>6.3410000000000002</c:v>
                </c:pt>
                <c:pt idx="7">
                  <c:v>5.8310000000000004</c:v>
                </c:pt>
                <c:pt idx="8">
                  <c:v>5.5659999999999998</c:v>
                </c:pt>
                <c:pt idx="9">
                  <c:v>5.7</c:v>
                </c:pt>
                <c:pt idx="10">
                  <c:v>2.9910000000000001</c:v>
                </c:pt>
                <c:pt idx="11">
                  <c:v>3.887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06E7-4C48-A6C3-02C47D367978}"/>
            </c:ext>
          </c:extLst>
        </c:ser>
        <c:ser>
          <c:idx val="4"/>
          <c:order val="4"/>
          <c:tx>
            <c:strRef>
              <c:f>'2024'!$A$49</c:f>
              <c:strCache>
                <c:ptCount val="1"/>
                <c:pt idx="0">
                  <c:v>Otros Productos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"/>
              <c:layout>
                <c:manualLayout>
                  <c:x val="-4.4406204284953163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E7-4C48-A6C3-02C47D367978}"/>
                </c:ext>
              </c:extLst>
            </c:dLbl>
            <c:dLbl>
              <c:idx val="6"/>
              <c:layout>
                <c:manualLayout>
                  <c:x val="-3.613434540937896E-2"/>
                  <c:y val="-4.06454212459364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6E7-4C48-A6C3-02C47D36797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'2024'!$B$49:$M$49</c:f>
              <c:numCache>
                <c:formatCode>#,##0</c:formatCode>
                <c:ptCount val="12"/>
                <c:pt idx="0">
                  <c:v>208.88499999999999</c:v>
                </c:pt>
                <c:pt idx="1">
                  <c:v>231.21499999999924</c:v>
                </c:pt>
                <c:pt idx="2">
                  <c:v>123.14199999999892</c:v>
                </c:pt>
                <c:pt idx="3">
                  <c:v>178.24899999999997</c:v>
                </c:pt>
                <c:pt idx="4">
                  <c:v>212.065</c:v>
                </c:pt>
                <c:pt idx="5">
                  <c:v>164.25100000000111</c:v>
                </c:pt>
                <c:pt idx="6">
                  <c:v>215.41199999999935</c:v>
                </c:pt>
                <c:pt idx="7">
                  <c:v>256.44499999999971</c:v>
                </c:pt>
                <c:pt idx="8">
                  <c:v>192.29900000000001</c:v>
                </c:pt>
                <c:pt idx="9">
                  <c:v>175.37199999999939</c:v>
                </c:pt>
                <c:pt idx="10">
                  <c:v>272.31600000000003</c:v>
                </c:pt>
                <c:pt idx="11">
                  <c:v>223.53300000000002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06E7-4C48-A6C3-02C47D3679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524736"/>
        <c:axId val="431527360"/>
      </c:lineChart>
      <c:valAx>
        <c:axId val="43152736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4736"/>
        <c:crosses val="autoZero"/>
        <c:crossBetween val="between"/>
      </c:valAx>
      <c:dateAx>
        <c:axId val="43152473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736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Coque de Petróleo (kt)</a:t>
            </a:r>
          </a:p>
        </c:rich>
      </c:tx>
      <c:layout>
        <c:manualLayout>
          <c:xMode val="edge"/>
          <c:yMode val="edge"/>
          <c:x val="0.16485628126081409"/>
          <c:y val="2.67716922730993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1494322945229427"/>
          <c:y val="0.17441757515924242"/>
          <c:w val="0.84927340819748931"/>
          <c:h val="0.72207294407808054"/>
        </c:manualLayout>
      </c:layout>
      <c:lineChart>
        <c:grouping val="standard"/>
        <c:varyColors val="0"/>
        <c:ser>
          <c:idx val="0"/>
          <c:order val="0"/>
          <c:tx>
            <c:strRef>
              <c:f>'2024'!$A$48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A679-47CF-8547-5A72642B81C6}"/>
              </c:ext>
            </c:extLst>
          </c:dPt>
          <c:dPt>
            <c:idx val="1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3-A679-47CF-8547-5A72642B81C6}"/>
              </c:ext>
            </c:extLst>
          </c:dPt>
          <c:dPt>
            <c:idx val="2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5-A679-47CF-8547-5A72642B81C6}"/>
              </c:ext>
            </c:extLst>
          </c:dPt>
          <c:dPt>
            <c:idx val="3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7-A679-47CF-8547-5A72642B81C6}"/>
              </c:ext>
            </c:extLst>
          </c:dPt>
          <c:dPt>
            <c:idx val="4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9-A679-47CF-8547-5A72642B81C6}"/>
              </c:ext>
            </c:extLst>
          </c:dPt>
          <c:dLbls>
            <c:dLbl>
              <c:idx val="3"/>
              <c:layout>
                <c:manualLayout>
                  <c:x val="6.5060658818575281E-3"/>
                  <c:y val="-3.12336409852826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679-47CF-8547-5A72642B81C6}"/>
                </c:ext>
              </c:extLst>
            </c:dLbl>
            <c:dLbl>
              <c:idx val="6"/>
              <c:layout>
                <c:manualLayout>
                  <c:x val="-2.9277296468358877E-2"/>
                  <c:y val="-2.230974356091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679-47CF-8547-5A72642B81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'2024'!$B$48:$M$48</c:f>
              <c:numCache>
                <c:formatCode>#,##0</c:formatCode>
                <c:ptCount val="12"/>
                <c:pt idx="0">
                  <c:v>276.36099999999999</c:v>
                </c:pt>
                <c:pt idx="1">
                  <c:v>333.20699999999999</c:v>
                </c:pt>
                <c:pt idx="2">
                  <c:v>286.33100000000002</c:v>
                </c:pt>
                <c:pt idx="3">
                  <c:v>247.52699999999999</c:v>
                </c:pt>
                <c:pt idx="4">
                  <c:v>280.86399999999998</c:v>
                </c:pt>
                <c:pt idx="5">
                  <c:v>274.50299999999999</c:v>
                </c:pt>
                <c:pt idx="6">
                  <c:v>303.47500000000002</c:v>
                </c:pt>
                <c:pt idx="7">
                  <c:v>301.76100000000002</c:v>
                </c:pt>
                <c:pt idx="8">
                  <c:v>271.81900000000002</c:v>
                </c:pt>
                <c:pt idx="9">
                  <c:v>296.07799999999997</c:v>
                </c:pt>
                <c:pt idx="10">
                  <c:v>329.41199999999998</c:v>
                </c:pt>
                <c:pt idx="11">
                  <c:v>304.04000000000002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A679-47CF-8547-5A72642B81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528672"/>
        <c:axId val="431525392"/>
      </c:lineChart>
      <c:valAx>
        <c:axId val="431525392"/>
        <c:scaling>
          <c:orientation val="minMax"/>
          <c:min val="0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8672"/>
        <c:crosses val="autoZero"/>
        <c:crossBetween val="between"/>
      </c:valAx>
      <c:dateAx>
        <c:axId val="43152867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65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5392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'2024'!$AV$3</c:f>
          <c:strCache>
            <c:ptCount val="1"/>
            <c:pt idx="0">
              <c:v>DICIEMBRE 2024</c:v>
            </c:pt>
          </c:strCache>
        </c:strRef>
      </c:tx>
      <c:layout>
        <c:manualLayout>
          <c:xMode val="edge"/>
          <c:yMode val="edge"/>
          <c:x val="0.42702007380557216"/>
          <c:y val="3.3333377077922673E-2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40404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'2024'!$AU$6:$AU$8</c:f>
              <c:strCache>
                <c:ptCount val="3"/>
                <c:pt idx="0">
                  <c:v>IMPORTACIONES DE CRUDO</c:v>
                </c:pt>
                <c:pt idx="1">
                  <c:v>TOTAL PROCESADO</c:v>
                </c:pt>
                <c:pt idx="2">
                  <c:v>PRODUCCION BRUTA DE REFINERIA</c:v>
                </c:pt>
              </c:strCache>
            </c:strRef>
          </c:cat>
          <c:val>
            <c:numRef>
              <c:f>'2024'!$AV$6:$AV$8</c:f>
              <c:numCache>
                <c:formatCode>0.0</c:formatCode>
                <c:ptCount val="3"/>
                <c:pt idx="0">
                  <c:v>5234.32</c:v>
                </c:pt>
                <c:pt idx="1">
                  <c:v>5482.2209999999995</c:v>
                </c:pt>
                <c:pt idx="2">
                  <c:v>5415.1689999999999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44-4BAC-986F-EEED926A43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3221368"/>
        <c:axId val="423226944"/>
      </c:barChart>
      <c:valAx>
        <c:axId val="42322694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1368"/>
        <c:crosses val="autoZero"/>
        <c:crossBetween val="between"/>
      </c:valAx>
      <c:catAx>
        <c:axId val="423221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69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'2024'!$AV$3</c:f>
          <c:strCache>
            <c:ptCount val="1"/>
            <c:pt idx="0">
              <c:v>DICIEMBRE 2024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ED7D31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DE2F-483F-A7A6-F2EE145F6B7D}"/>
              </c:ext>
            </c:extLst>
          </c:dPt>
          <c:dLbls>
            <c:dLbl>
              <c:idx val="2"/>
              <c:layout>
                <c:manualLayout>
                  <c:x val="4.660804613773939E-3"/>
                  <c:y val="8.44372473510407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2F-483F-A7A6-F2EE145F6B7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'2024'!$AU$11:$AU$15</c:f>
              <c:strCache>
                <c:ptCount val="5"/>
                <c:pt idx="0">
                  <c:v>IMPORTACIONES DE PROD. INTERMEDIOS Y MAT. AUXILIARES</c:v>
                </c:pt>
                <c:pt idx="1">
                  <c:v>VARIACION DE STOCKS DE CRUDOS (Ef-Ei)</c:v>
                </c:pt>
                <c:pt idx="2">
                  <c:v>APROVISIONAMIENTO DE PROD. INTERMEDIOS Y MAT. AUXILIARES</c:v>
                </c:pt>
                <c:pt idx="3">
                  <c:v>PRODUCTOS TRASPASADOS Y BACKFLOWS</c:v>
                </c:pt>
                <c:pt idx="4">
                  <c:v>CONSUMO DIRECTO DE CRUDO</c:v>
                </c:pt>
              </c:strCache>
            </c:strRef>
          </c:cat>
          <c:val>
            <c:numRef>
              <c:f>'2024'!$AV$11:$AV$15</c:f>
              <c:numCache>
                <c:formatCode>0.0</c:formatCode>
                <c:ptCount val="5"/>
                <c:pt idx="0">
                  <c:v>-7.6350000000002183</c:v>
                </c:pt>
                <c:pt idx="1">
                  <c:v>-7.3010000000000002</c:v>
                </c:pt>
                <c:pt idx="2">
                  <c:v>-196.66900000000001</c:v>
                </c:pt>
                <c:pt idx="3">
                  <c:v>51.342999999999996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E2F-483F-A7A6-F2EE145F6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337208"/>
        <c:axId val="430334584"/>
      </c:barChart>
      <c:valAx>
        <c:axId val="43033458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208"/>
        <c:crosses val="autoZero"/>
        <c:crossBetween val="between"/>
      </c:valAx>
      <c:catAx>
        <c:axId val="4303372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45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'2024'!$AV$3</c:f>
          <c:strCache>
            <c:ptCount val="1"/>
            <c:pt idx="0">
              <c:v>DICIEMBRE 2024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'2024'!$AU$17:$AU$50</c:f>
              <c:strCache>
                <c:ptCount val="34"/>
                <c:pt idx="0">
                  <c:v>Gas Refinería</c:v>
                </c:pt>
                <c:pt idx="1">
                  <c:v>Etano</c:v>
                </c:pt>
                <c:pt idx="2">
                  <c:v>Butano</c:v>
                </c:pt>
                <c:pt idx="3">
                  <c:v>Propano</c:v>
                </c:pt>
                <c:pt idx="4">
                  <c:v>Nafta</c:v>
                </c:pt>
                <c:pt idx="5">
                  <c:v>Gasolina 97 I.O.</c:v>
                </c:pt>
                <c:pt idx="6">
                  <c:v>Gasolina 95 I.O.</c:v>
                </c:pt>
                <c:pt idx="7">
                  <c:v>Gasolina 98 I.O.</c:v>
                </c:pt>
                <c:pt idx="8">
                  <c:v>Gasolina de Aviación</c:v>
                </c:pt>
                <c:pt idx="9">
                  <c:v>Otras Gasolinas</c:v>
                </c:pt>
                <c:pt idx="10">
                  <c:v>Bioetanol</c:v>
                </c:pt>
                <c:pt idx="11">
                  <c:v>Gasolinas Mezcla</c:v>
                </c:pt>
                <c:pt idx="12">
                  <c:v>Queroseno aviac. Jet A1</c:v>
                </c:pt>
                <c:pt idx="13">
                  <c:v>Queroseno aviac. Jet A2</c:v>
                </c:pt>
                <c:pt idx="14">
                  <c:v>Otros Querosenos</c:v>
                </c:pt>
                <c:pt idx="15">
                  <c:v>Gasóleo A</c:v>
                </c:pt>
                <c:pt idx="16">
                  <c:v>Gasóleo A 10 PPM</c:v>
                </c:pt>
                <c:pt idx="17">
                  <c:v>Gasóleo B</c:v>
                </c:pt>
                <c:pt idx="18">
                  <c:v>Gasóleo C</c:v>
                </c:pt>
                <c:pt idx="19">
                  <c:v>Gasóleo para uso marítimo</c:v>
                </c:pt>
                <c:pt idx="20">
                  <c:v>Diésel para uso marítimo</c:v>
                </c:pt>
                <c:pt idx="21">
                  <c:v>Otros Gasóleos</c:v>
                </c:pt>
                <c:pt idx="22">
                  <c:v>Biodiesel</c:v>
                </c:pt>
                <c:pt idx="23">
                  <c:v>Biodiesel Mezcla</c:v>
                </c:pt>
                <c:pt idx="24">
                  <c:v>Fuelóleo BIA</c:v>
                </c:pt>
                <c:pt idx="25">
                  <c:v>Fuelóleo de refineria</c:v>
                </c:pt>
                <c:pt idx="26">
                  <c:v>Otros combustibles para uso marítimo</c:v>
                </c:pt>
                <c:pt idx="27">
                  <c:v>Otros Fuelóleos</c:v>
                </c:pt>
                <c:pt idx="28">
                  <c:v>Aceites y bases lubricantes</c:v>
                </c:pt>
                <c:pt idx="29">
                  <c:v>Productos asfálticos</c:v>
                </c:pt>
                <c:pt idx="30">
                  <c:v>Disolventes</c:v>
                </c:pt>
                <c:pt idx="31">
                  <c:v>Parafinas</c:v>
                </c:pt>
                <c:pt idx="32">
                  <c:v>Coque de petróleo</c:v>
                </c:pt>
                <c:pt idx="33">
                  <c:v>Otros Productos</c:v>
                </c:pt>
              </c:strCache>
            </c:strRef>
          </c:cat>
          <c:val>
            <c:numRef>
              <c:f>'2024'!$AV$17:$AV$50</c:f>
              <c:numCache>
                <c:formatCode>0.0</c:formatCode>
                <c:ptCount val="34"/>
                <c:pt idx="0">
                  <c:v>177.91800000000001</c:v>
                </c:pt>
                <c:pt idx="1">
                  <c:v>0</c:v>
                </c:pt>
                <c:pt idx="2">
                  <c:v>115.131</c:v>
                </c:pt>
                <c:pt idx="3">
                  <c:v>25.479000000000013</c:v>
                </c:pt>
                <c:pt idx="4">
                  <c:v>164.97399999999999</c:v>
                </c:pt>
                <c:pt idx="5">
                  <c:v>0</c:v>
                </c:pt>
                <c:pt idx="6">
                  <c:v>97.415000000000006</c:v>
                </c:pt>
                <c:pt idx="7">
                  <c:v>5.5869999999999997</c:v>
                </c:pt>
                <c:pt idx="8">
                  <c:v>0</c:v>
                </c:pt>
                <c:pt idx="9">
                  <c:v>743.75700000000006</c:v>
                </c:pt>
                <c:pt idx="10">
                  <c:v>0</c:v>
                </c:pt>
                <c:pt idx="11">
                  <c:v>0</c:v>
                </c:pt>
                <c:pt idx="12">
                  <c:v>47.030999999999999</c:v>
                </c:pt>
                <c:pt idx="13">
                  <c:v>0</c:v>
                </c:pt>
                <c:pt idx="14">
                  <c:v>784.56600000000003</c:v>
                </c:pt>
                <c:pt idx="15">
                  <c:v>0</c:v>
                </c:pt>
                <c:pt idx="16">
                  <c:v>244.75200000000001</c:v>
                </c:pt>
                <c:pt idx="17">
                  <c:v>38.040999999999997</c:v>
                </c:pt>
                <c:pt idx="18">
                  <c:v>11.247999999999999</c:v>
                </c:pt>
                <c:pt idx="19">
                  <c:v>62.74</c:v>
                </c:pt>
                <c:pt idx="20">
                  <c:v>0</c:v>
                </c:pt>
                <c:pt idx="21">
                  <c:v>1780.252</c:v>
                </c:pt>
                <c:pt idx="22">
                  <c:v>14.125</c:v>
                </c:pt>
                <c:pt idx="23">
                  <c:v>0</c:v>
                </c:pt>
                <c:pt idx="24">
                  <c:v>1E-3</c:v>
                </c:pt>
                <c:pt idx="25">
                  <c:v>0</c:v>
                </c:pt>
                <c:pt idx="26">
                  <c:v>0</c:v>
                </c:pt>
                <c:pt idx="27">
                  <c:v>383.76700000000005</c:v>
                </c:pt>
                <c:pt idx="28">
                  <c:v>24.454999999999998</c:v>
                </c:pt>
                <c:pt idx="29">
                  <c:v>156.809</c:v>
                </c:pt>
                <c:pt idx="30">
                  <c:v>5.6609999999999996</c:v>
                </c:pt>
                <c:pt idx="31">
                  <c:v>3.887</c:v>
                </c:pt>
                <c:pt idx="32">
                  <c:v>304.04000000000002</c:v>
                </c:pt>
                <c:pt idx="33">
                  <c:v>223.53300000000002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52-45D0-8163-F47F18AB5B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30337864"/>
        <c:axId val="430337536"/>
      </c:barChart>
      <c:valAx>
        <c:axId val="430337536"/>
        <c:scaling>
          <c:orientation val="minMax"/>
          <c:max val="2000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864"/>
        <c:crosses val="autoZero"/>
        <c:crossBetween val="between"/>
      </c:valAx>
      <c:catAx>
        <c:axId val="43033786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5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1">
                <a:latin typeface="Calibri" panose="020F0502020204030204" pitchFamily="34" charset="0"/>
                <a:cs typeface="Calibri" panose="020F0502020204030204" pitchFamily="34" charset="0"/>
              </a:rPr>
              <a:t>Producción Bruta - Gas Refineria (kt)</a:t>
            </a:r>
          </a:p>
        </c:rich>
      </c:tx>
      <c:layout>
        <c:manualLayout>
          <c:xMode val="edge"/>
          <c:yMode val="edge"/>
          <c:x val="0.18324678593978219"/>
          <c:y val="4.17933478007301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'2024'!$A$16</c:f>
              <c:strCache>
                <c:ptCount val="1"/>
                <c:pt idx="0">
                  <c:v>Gas Refinería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'2024'!$B$16:$M$16</c:f>
              <c:numCache>
                <c:formatCode>#,##0</c:formatCode>
                <c:ptCount val="12"/>
                <c:pt idx="0">
                  <c:v>171.17400000000001</c:v>
                </c:pt>
                <c:pt idx="1">
                  <c:v>141.738</c:v>
                </c:pt>
                <c:pt idx="2">
                  <c:v>171.87</c:v>
                </c:pt>
                <c:pt idx="3">
                  <c:v>170.124</c:v>
                </c:pt>
                <c:pt idx="4">
                  <c:v>180.49600000000001</c:v>
                </c:pt>
                <c:pt idx="5">
                  <c:v>173.89400000000001</c:v>
                </c:pt>
                <c:pt idx="6">
                  <c:v>187.74799999999999</c:v>
                </c:pt>
                <c:pt idx="7">
                  <c:v>182.61799999999999</c:v>
                </c:pt>
                <c:pt idx="8">
                  <c:v>171.11600000000001</c:v>
                </c:pt>
                <c:pt idx="9">
                  <c:v>168.66300000000001</c:v>
                </c:pt>
                <c:pt idx="10">
                  <c:v>153.82400000000001</c:v>
                </c:pt>
                <c:pt idx="11">
                  <c:v>177.91800000000001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8E-4BD2-99F5-04D359647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1032240"/>
        <c:axId val="581032896"/>
      </c:lineChart>
      <c:dateAx>
        <c:axId val="581032240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896"/>
        <c:crosses val="autoZero"/>
        <c:auto val="1"/>
        <c:lblOffset val="100"/>
        <c:baseTimeUnit val="months"/>
      </c:dateAx>
      <c:valAx>
        <c:axId val="581032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  <a:ea typeface="+mn-ea"/>
                <a:cs typeface="+mn-cs"/>
              </a:rPr>
              <a:t>PRODUCCION BRUTA DE REFINERIA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'2024'!$A$15</c:f>
              <c:strCache>
                <c:ptCount val="1"/>
                <c:pt idx="0">
                  <c:v>PRODUCCION BRUTA DE REFINERIA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1C4F-4F2E-9694-E0084FBF149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'2024'!$B$15:$M$15</c:f>
              <c:numCache>
                <c:formatCode>#,##0</c:formatCode>
                <c:ptCount val="12"/>
                <c:pt idx="0">
                  <c:v>5657.4530000000004</c:v>
                </c:pt>
                <c:pt idx="1">
                  <c:v>5212.134</c:v>
                </c:pt>
                <c:pt idx="2">
                  <c:v>5229.4089999999997</c:v>
                </c:pt>
                <c:pt idx="3">
                  <c:v>5246.0229999999992</c:v>
                </c:pt>
                <c:pt idx="4">
                  <c:v>5589.7849999999999</c:v>
                </c:pt>
                <c:pt idx="5">
                  <c:v>5001.5909999999994</c:v>
                </c:pt>
                <c:pt idx="6">
                  <c:v>5539.1399999999994</c:v>
                </c:pt>
                <c:pt idx="7">
                  <c:v>5496.3909999999996</c:v>
                </c:pt>
                <c:pt idx="8">
                  <c:v>5075.6180000000004</c:v>
                </c:pt>
                <c:pt idx="9">
                  <c:v>5183.6080000000002</c:v>
                </c:pt>
                <c:pt idx="10">
                  <c:v>4880.7260000000006</c:v>
                </c:pt>
                <c:pt idx="11">
                  <c:v>5415.1689999999999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4F-4F2E-9694-E0084FBF14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PRODUCCION NACIONAL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'2025'!$A$5</c:f>
              <c:strCache>
                <c:ptCount val="1"/>
                <c:pt idx="0">
                  <c:v>PRODUCCION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'2025'!$B$5:$M$5</c:f>
              <c:numCache>
                <c:formatCode>#,##0</c:formatCode>
                <c:ptCount val="12"/>
                <c:pt idx="0">
                  <c:v>0.40699999999999997</c:v>
                </c:pt>
                <c:pt idx="1">
                  <c:v>0.23899999999999999</c:v>
                </c:pt>
                <c:pt idx="2">
                  <c:v>0.17599999999999999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21-4B97-9F51-5B0CAB6ADF9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23222024"/>
        <c:axId val="423223664"/>
      </c:barChart>
      <c:valAx>
        <c:axId val="42322366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00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2024"/>
        <c:crosses val="autoZero"/>
        <c:crossBetween val="between"/>
      </c:valAx>
      <c:dateAx>
        <c:axId val="42322202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3664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IMPORTACIONES DE CRUDO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'2025'!$A$6</c:f>
              <c:strCache>
                <c:ptCount val="1"/>
                <c:pt idx="0">
                  <c:v>IMPORTACIONES DE CRUDO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3732-4A68-A381-98E2D9E1DA6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'2025'!$B$6:$M$6</c:f>
              <c:numCache>
                <c:formatCode>#,##0</c:formatCode>
                <c:ptCount val="12"/>
                <c:pt idx="0">
                  <c:v>5182.2709999999997</c:v>
                </c:pt>
                <c:pt idx="1">
                  <c:v>5072.5690000000004</c:v>
                </c:pt>
                <c:pt idx="2">
                  <c:v>5310.0219999999999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32-4A68-A381-98E2D9E1DA6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libri"/>
                <a:ea typeface="+mn-ea"/>
                <a:cs typeface="+mn-cs"/>
              </a:defRPr>
            </a:pPr>
            <a:r>
              <a:rPr lang="es-ES" sz="1400" b="1">
                <a:solidFill>
                  <a:schemeClr val="tx1">
                    <a:lumMod val="65000"/>
                    <a:lumOff val="35000"/>
                  </a:schemeClr>
                </a:solidFill>
              </a:rPr>
              <a:t>Evolución</a:t>
            </a:r>
            <a:r>
              <a:rPr lang="es-ES" sz="1400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 </a:t>
            </a:r>
            <a:r>
              <a:rPr lang="es-ES" sz="1400" b="1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de Importaciones de Crudo (kt)</a:t>
            </a:r>
            <a:endParaRPr lang="es-ES" sz="1400" b="1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4.5958541649888413E-2"/>
          <c:y val="6.2629545284295901E-2"/>
          <c:w val="0.92698320982414695"/>
          <c:h val="0.669100875476130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'2025'!$A$7</c:f>
              <c:strCache>
                <c:ptCount val="1"/>
                <c:pt idx="0">
                  <c:v>IMPORTACIONES DE PROD. INTERMEDIOS Y MAT. AUXILIARES</c:v>
                </c:pt>
              </c:strCache>
            </c:strRef>
          </c:tx>
          <c:spPr>
            <a:solidFill>
              <a:srgbClr val="EF771D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1.621559161053809E-2"/>
                  <c:y val="-8.381977955397976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EB-4BFB-BD25-52B25766D27C}"/>
                </c:ext>
              </c:extLst>
            </c:dLbl>
            <c:dLbl>
              <c:idx val="2"/>
              <c:layout>
                <c:manualLayout>
                  <c:x val="-1.62155916105380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EB-4BFB-BD25-52B25766D27C}"/>
                </c:ext>
              </c:extLst>
            </c:dLbl>
            <c:dLbl>
              <c:idx val="6"/>
              <c:layout>
                <c:manualLayout>
                  <c:x val="2.7025986017563488E-3"/>
                  <c:y val="-4.1909889776989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EB-4BFB-BD25-52B25766D27C}"/>
                </c:ext>
              </c:extLst>
            </c:dLbl>
            <c:dLbl>
              <c:idx val="7"/>
              <c:layout>
                <c:manualLayout>
                  <c:x val="-1.891819021229434E-2"/>
                  <c:y val="-1.67639559107959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'2025'!$B$7:$M$7</c:f>
              <c:numCache>
                <c:formatCode>#,##0</c:formatCode>
                <c:ptCount val="12"/>
                <c:pt idx="0">
                  <c:v>192.98100000000068</c:v>
                </c:pt>
                <c:pt idx="1">
                  <c:v>-49.119000000000597</c:v>
                </c:pt>
                <c:pt idx="2">
                  <c:v>-73.728000000000065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EB-4BFB-BD25-52B25766D27C}"/>
            </c:ext>
          </c:extLst>
        </c:ser>
        <c:ser>
          <c:idx val="1"/>
          <c:order val="1"/>
          <c:tx>
            <c:strRef>
              <c:f>'2025'!$A$8</c:f>
              <c:strCache>
                <c:ptCount val="1"/>
                <c:pt idx="0">
                  <c:v>VARIACION DE STOCKS DE CRUDOS (Ef-Ei)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7025986017563487E-2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EB-4BFB-BD25-52B25766D27C}"/>
                </c:ext>
              </c:extLst>
            </c:dLbl>
            <c:dLbl>
              <c:idx val="1"/>
              <c:layout>
                <c:manualLayout>
                  <c:x val="0"/>
                  <c:y val="-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EB-4BFB-BD25-52B25766D27C}"/>
                </c:ext>
              </c:extLst>
            </c:dLbl>
            <c:dLbl>
              <c:idx val="5"/>
              <c:layout>
                <c:manualLayout>
                  <c:x val="5.4051972035126976E-3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EB-4BFB-BD25-52B25766D27C}"/>
                </c:ext>
              </c:extLst>
            </c:dLbl>
            <c:dLbl>
              <c:idx val="6"/>
              <c:layout>
                <c:manualLayout>
                  <c:x val="-1.3512993008781842E-2"/>
                  <c:y val="-2.51459338661939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'2025'!$B$8:$M$8</c:f>
              <c:numCache>
                <c:formatCode>#,##0</c:formatCode>
                <c:ptCount val="12"/>
                <c:pt idx="0">
                  <c:v>-118.96599999999999</c:v>
                </c:pt>
                <c:pt idx="1">
                  <c:v>311.27600000000001</c:v>
                </c:pt>
                <c:pt idx="2">
                  <c:v>-7.0119999999999996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3EB-4BFB-BD25-52B25766D27C}"/>
            </c:ext>
          </c:extLst>
        </c:ser>
        <c:ser>
          <c:idx val="2"/>
          <c:order val="2"/>
          <c:tx>
            <c:strRef>
              <c:f>'2025'!$A$9</c:f>
              <c:strCache>
                <c:ptCount val="1"/>
                <c:pt idx="0">
                  <c:v>APROVISIONAMIENTO DE PROD. INTERMEDIOS Y MAT. AUXILIARES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07202361432757E-2"/>
                  <c:y val="-2.085297515667526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3EB-4BFB-BD25-52B25766D27C}"/>
                </c:ext>
              </c:extLst>
            </c:dLbl>
            <c:dLbl>
              <c:idx val="1"/>
              <c:layout>
                <c:manualLayout>
                  <c:x val="1.3512993008781718E-2"/>
                  <c:y val="-4.190988977699027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3EB-4BFB-BD25-52B25766D27C}"/>
                </c:ext>
              </c:extLst>
            </c:dLbl>
            <c:dLbl>
              <c:idx val="3"/>
              <c:layout>
                <c:manualLayout>
                  <c:x val="2.9728584619319737E-2"/>
                  <c:y val="4.191318976831091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3EB-4BFB-BD25-52B25766D27C}"/>
                </c:ext>
              </c:extLst>
            </c:dLbl>
            <c:dLbl>
              <c:idx val="5"/>
              <c:layout>
                <c:manualLayout>
                  <c:x val="-3.5133781822832631E-2"/>
                  <c:y val="-1.676395591079603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3EB-4BFB-BD25-52B25766D27C}"/>
                </c:ext>
              </c:extLst>
            </c:dLbl>
            <c:dLbl>
              <c:idx val="7"/>
              <c:layout>
                <c:manualLayout>
                  <c:x val="-9.9094137320469094E-17"/>
                  <c:y val="-6.705582364318381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'2025'!$B$9:$M$9</c:f>
              <c:numCache>
                <c:formatCode>#,##0</c:formatCode>
                <c:ptCount val="12"/>
                <c:pt idx="0">
                  <c:v>251.21300000000002</c:v>
                </c:pt>
                <c:pt idx="1">
                  <c:v>1.2939999999999827</c:v>
                </c:pt>
                <c:pt idx="2">
                  <c:v>-56.305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D3EB-4BFB-BD25-52B25766D27C}"/>
            </c:ext>
          </c:extLst>
        </c:ser>
        <c:ser>
          <c:idx val="3"/>
          <c:order val="3"/>
          <c:tx>
            <c:strRef>
              <c:f>'2025'!$A$10</c:f>
              <c:strCache>
                <c:ptCount val="1"/>
                <c:pt idx="0">
                  <c:v>PRODUCTOS TRASPASADOS Y BACKFLOWS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9.9094137320469094E-17"/>
                  <c:y val="-2.09549448884950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3EB-4BFB-BD25-52B25766D27C}"/>
                </c:ext>
              </c:extLst>
            </c:dLbl>
            <c:dLbl>
              <c:idx val="7"/>
              <c:layout>
                <c:manualLayout>
                  <c:x val="3.5133781822832534E-2"/>
                  <c:y val="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'2025'!$B$10:$M$10</c:f>
              <c:numCache>
                <c:formatCode>#,##0</c:formatCode>
                <c:ptCount val="12"/>
                <c:pt idx="0">
                  <c:v>62.945999999999998</c:v>
                </c:pt>
                <c:pt idx="1">
                  <c:v>55.45</c:v>
                </c:pt>
                <c:pt idx="2">
                  <c:v>23.821999999999999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D3EB-4BFB-BD25-52B25766D27C}"/>
            </c:ext>
          </c:extLst>
        </c:ser>
        <c:ser>
          <c:idx val="4"/>
          <c:order val="4"/>
          <c:tx>
            <c:strRef>
              <c:f>'2025'!$A$11</c:f>
              <c:strCache>
                <c:ptCount val="1"/>
                <c:pt idx="0">
                  <c:v>CONSUMO DIRECTO DE CRUDO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5.4051972035126473E-3"/>
                  <c:y val="1.676395591079595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'2025'!$B$11:$M$11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D3EB-4BFB-BD25-52B25766D27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430332944"/>
        <c:axId val="430338192"/>
      </c:barChart>
      <c:valAx>
        <c:axId val="430338192"/>
        <c:scaling>
          <c:orientation val="minMax"/>
        </c:scaling>
        <c:delete val="1"/>
        <c:axPos val="l"/>
        <c:numFmt formatCode="#.##0" sourceLinked="0"/>
        <c:majorTickMark val="none"/>
        <c:minorTickMark val="none"/>
        <c:tickLblPos val="nextTo"/>
        <c:crossAx val="430332944"/>
        <c:crosses val="autoZero"/>
        <c:crossBetween val="between"/>
      </c:valAx>
      <c:dateAx>
        <c:axId val="43033294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0" i="0" u="none" strike="noStrike" kern="1200" cap="all" spc="12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819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9738932643710192E-2"/>
          <c:y val="0.76163502689987939"/>
          <c:w val="0.94052192165550486"/>
          <c:h val="0.2132190392339268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8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Evolución Procesado de Crudo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0"/>
          <c:tx>
            <c:strRef>
              <c:f>'2025'!$A$14</c:f>
              <c:strCache>
                <c:ptCount val="1"/>
                <c:pt idx="0">
                  <c:v>PERDIDAS DE REFINO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'2025'!$B$14:$M$14</c:f>
              <c:numCache>
                <c:formatCode>#,##0</c:formatCode>
                <c:ptCount val="12"/>
                <c:pt idx="0">
                  <c:v>157.89100000000144</c:v>
                </c:pt>
                <c:pt idx="1">
                  <c:v>71.536999999999352</c:v>
                </c:pt>
                <c:pt idx="2">
                  <c:v>220.40999999999985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2D-4D5D-B0BE-7B6683E0D856}"/>
            </c:ext>
          </c:extLst>
        </c:ser>
        <c:ser>
          <c:idx val="1"/>
          <c:order val="1"/>
          <c:tx>
            <c:strRef>
              <c:f>'2025'!$A$13</c:f>
              <c:strCache>
                <c:ptCount val="1"/>
                <c:pt idx="0">
                  <c:v>PROCESADO DE CRUDO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lt1"/>
              </a:solidFill>
              <a:ln>
                <a:solidFill>
                  <a:schemeClr val="dk1">
                    <a:lumMod val="65000"/>
                    <a:lumOff val="35000"/>
                  </a:schemeClr>
                </a:solidFill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  <a:noFill/>
                  <a:ln>
                    <a:noFill/>
                  </a:ln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'2025'!$B$13:$M$13</c:f>
              <c:numCache>
                <c:formatCode>#,##0</c:formatCode>
                <c:ptCount val="12"/>
                <c:pt idx="0">
                  <c:v>5301.6440000000002</c:v>
                </c:pt>
                <c:pt idx="1">
                  <c:v>4761.5320000000002</c:v>
                </c:pt>
                <c:pt idx="2">
                  <c:v>5317.21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D-4D5D-B0BE-7B6683E0D8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430340488"/>
        <c:axId val="430336552"/>
      </c:barChart>
      <c:lineChart>
        <c:grouping val="standard"/>
        <c:varyColors val="0"/>
        <c:ser>
          <c:idx val="0"/>
          <c:order val="2"/>
          <c:tx>
            <c:strRef>
              <c:f>'2025'!$A$12</c:f>
              <c:strCache>
                <c:ptCount val="1"/>
                <c:pt idx="0">
                  <c:v>TOTAL PROCESADO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2-032D-4D5D-B0BE-7B6683E0D85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'2025'!$B$12:$M$12</c:f>
              <c:numCache>
                <c:formatCode>#,##0</c:formatCode>
                <c:ptCount val="12"/>
                <c:pt idx="0">
                  <c:v>5306.3580000000011</c:v>
                </c:pt>
                <c:pt idx="1">
                  <c:v>4766.5689999999995</c:v>
                </c:pt>
                <c:pt idx="2">
                  <c:v>5323.6090000000004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32D-4D5D-B0BE-7B6683E0D8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340488"/>
        <c:axId val="430336552"/>
      </c:lineChart>
      <c:valAx>
        <c:axId val="430336552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40488"/>
        <c:crosses val="autoZero"/>
        <c:crossBetween val="between"/>
      </c:valAx>
      <c:dateAx>
        <c:axId val="4303404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6552"/>
        <c:crosses val="autoZero"/>
        <c:auto val="1"/>
        <c:lblOffset val="100"/>
        <c:baseTimeUnit val="months"/>
      </c:date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Gases derivados del refino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8044496512429677E-2"/>
          <c:y val="0.16329335759261288"/>
          <c:w val="0.87497128952882108"/>
          <c:h val="0.62350962688456313"/>
        </c:manualLayout>
      </c:layout>
      <c:lineChart>
        <c:grouping val="standard"/>
        <c:varyColors val="0"/>
        <c:ser>
          <c:idx val="0"/>
          <c:order val="0"/>
          <c:tx>
            <c:strRef>
              <c:f>'2025'!$A$18</c:f>
              <c:strCache>
                <c:ptCount val="1"/>
                <c:pt idx="0">
                  <c:v>Butano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CA5-4A0A-BA9E-C5DB3CBAE9D1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CA5-4A0A-BA9E-C5DB3CBAE9D1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0CA5-4A0A-BA9E-C5DB3CBAE9D1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0CA5-4A0A-BA9E-C5DB3CBAE9D1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0CA5-4A0A-BA9E-C5DB3CBAE9D1}"/>
              </c:ext>
            </c:extLst>
          </c:dPt>
          <c:dLbls>
            <c:dLbl>
              <c:idx val="2"/>
              <c:layout>
                <c:manualLayout>
                  <c:x val="0"/>
                  <c:y val="4.53074502929109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A5-4A0A-BA9E-C5DB3CBAE9D1}"/>
                </c:ext>
              </c:extLst>
            </c:dLbl>
            <c:dLbl>
              <c:idx val="6"/>
              <c:layout>
                <c:manualLayout>
                  <c:x val="-1.9329385558187646E-2"/>
                  <c:y val="-4.53074502929108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A5-4A0A-BA9E-C5DB3CBAE9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vertOverflow="clip" horzOverflow="clip"/>
              <a:lstStyle/>
              <a:p>
                <a:pPr>
                  <a:defRPr>
                    <a:ln>
                      <a:noFill/>
                    </a:ln>
                    <a:solidFill>
                      <a:schemeClr val="tx1"/>
                    </a:solidFill>
                  </a:defRPr>
                </a:pPr>
                <a:endParaRPr lang="es-ES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oundRect">
                    <a:avLst/>
                  </a:prstGeom>
                </c15:spPr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'2025'!$B$18:$M$18</c:f>
              <c:numCache>
                <c:formatCode>#,##0</c:formatCode>
                <c:ptCount val="12"/>
                <c:pt idx="0">
                  <c:v>103.541</c:v>
                </c:pt>
                <c:pt idx="1">
                  <c:v>94.614000000000004</c:v>
                </c:pt>
                <c:pt idx="2">
                  <c:v>96.242000000000004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0CA5-4A0A-BA9E-C5DB3CBAE9D1}"/>
            </c:ext>
          </c:extLst>
        </c:ser>
        <c:ser>
          <c:idx val="1"/>
          <c:order val="1"/>
          <c:tx>
            <c:strRef>
              <c:f>'2025'!$A$19</c:f>
              <c:strCache>
                <c:ptCount val="1"/>
                <c:pt idx="0">
                  <c:v>Propano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'2025'!$B$19:$M$19</c:f>
              <c:numCache>
                <c:formatCode>#,##0</c:formatCode>
                <c:ptCount val="12"/>
                <c:pt idx="0">
                  <c:v>24.610000000000014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0CA5-4A0A-BA9E-C5DB3CBAE9D1}"/>
            </c:ext>
          </c:extLst>
        </c:ser>
        <c:ser>
          <c:idx val="2"/>
          <c:order val="2"/>
          <c:tx>
            <c:strRef>
              <c:f>'2025'!$A$17</c:f>
              <c:strCache>
                <c:ptCount val="1"/>
                <c:pt idx="0">
                  <c:v>Etano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'2025'!$B$17:$M$17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0CA5-4A0A-BA9E-C5DB3CBAE9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430335568"/>
        <c:axId val="430339176"/>
      </c:lineChart>
      <c:valAx>
        <c:axId val="43033917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5568"/>
        <c:crosses val="autoZero"/>
        <c:crossBetween val="between"/>
      </c:valAx>
      <c:dateAx>
        <c:axId val="4303355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9176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271931056992105"/>
          <c:y val="0.93320806190997896"/>
          <c:w val="0.6953456552892836"/>
          <c:h val="5.350698384117191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Gasolinas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'2025'!$A$20</c:f>
              <c:strCache>
                <c:ptCount val="1"/>
                <c:pt idx="0">
                  <c:v>Nafta</c:v>
                </c:pt>
              </c:strCache>
            </c:strRef>
          </c:tx>
          <c:spPr>
            <a:ln w="28575" cap="rnd" cmpd="sng" algn="ctr">
              <a:solidFill>
                <a:srgbClr val="EF771D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'2025'!$B$20:$M$20</c:f>
              <c:numCache>
                <c:formatCode>#,##0</c:formatCode>
                <c:ptCount val="12"/>
                <c:pt idx="0">
                  <c:v>158.80600000000001</c:v>
                </c:pt>
                <c:pt idx="1">
                  <c:v>120.563</c:v>
                </c:pt>
                <c:pt idx="2">
                  <c:v>132.67400000000001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AC8-4151-9B6F-B9D08E592558}"/>
            </c:ext>
          </c:extLst>
        </c:ser>
        <c:ser>
          <c:idx val="1"/>
          <c:order val="1"/>
          <c:tx>
            <c:strRef>
              <c:f>'2025'!$A$21</c:f>
              <c:strCache>
                <c:ptCount val="1"/>
                <c:pt idx="0">
                  <c:v>Gasolina 97 I.O.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'2025'!$B$21:$M$21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C8-4151-9B6F-B9D08E592558}"/>
            </c:ext>
          </c:extLst>
        </c:ser>
        <c:ser>
          <c:idx val="2"/>
          <c:order val="2"/>
          <c:tx>
            <c:strRef>
              <c:f>'2025'!$A$22</c:f>
              <c:strCache>
                <c:ptCount val="1"/>
                <c:pt idx="0">
                  <c:v>Gasolina 95 I.O.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'2025'!$B$22:$M$22</c:f>
              <c:numCache>
                <c:formatCode>#,##0</c:formatCode>
                <c:ptCount val="12"/>
                <c:pt idx="0">
                  <c:v>84.7</c:v>
                </c:pt>
                <c:pt idx="1">
                  <c:v>85.424000000000007</c:v>
                </c:pt>
                <c:pt idx="2">
                  <c:v>80.259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C8-4151-9B6F-B9D08E592558}"/>
            </c:ext>
          </c:extLst>
        </c:ser>
        <c:ser>
          <c:idx val="3"/>
          <c:order val="3"/>
          <c:tx>
            <c:strRef>
              <c:f>'2025'!$A$23</c:f>
              <c:strCache>
                <c:ptCount val="1"/>
                <c:pt idx="0">
                  <c:v>Gasolina 98 I.O.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'2025'!$B$23:$M$23</c:f>
              <c:numCache>
                <c:formatCode>#,##0</c:formatCode>
                <c:ptCount val="12"/>
                <c:pt idx="0">
                  <c:v>6.4459999999999997</c:v>
                </c:pt>
                <c:pt idx="1">
                  <c:v>6.1920000000000002</c:v>
                </c:pt>
                <c:pt idx="2">
                  <c:v>7.1070000000000002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AC8-4151-9B6F-B9D08E592558}"/>
            </c:ext>
          </c:extLst>
        </c:ser>
        <c:ser>
          <c:idx val="4"/>
          <c:order val="4"/>
          <c:tx>
            <c:strRef>
              <c:f>'2025'!$A$24</c:f>
              <c:strCache>
                <c:ptCount val="1"/>
                <c:pt idx="0">
                  <c:v>Gasolina de Aviación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'2025'!$B$24:$M$24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AC8-4151-9B6F-B9D08E592558}"/>
            </c:ext>
          </c:extLst>
        </c:ser>
        <c:ser>
          <c:idx val="5"/>
          <c:order val="5"/>
          <c:tx>
            <c:strRef>
              <c:f>'2025'!$A$25</c:f>
              <c:strCache>
                <c:ptCount val="1"/>
                <c:pt idx="0">
                  <c:v>Otras Gasolinas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'2025'!$B$25:$M$25</c:f>
              <c:numCache>
                <c:formatCode>#,##0</c:formatCode>
                <c:ptCount val="12"/>
                <c:pt idx="0">
                  <c:v>697.10399999999993</c:v>
                </c:pt>
                <c:pt idx="1">
                  <c:v>638.01099999999997</c:v>
                </c:pt>
                <c:pt idx="2">
                  <c:v>702.73799999999994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C8-4151-9B6F-B9D08E592558}"/>
            </c:ext>
          </c:extLst>
        </c:ser>
        <c:ser>
          <c:idx val="6"/>
          <c:order val="6"/>
          <c:tx>
            <c:strRef>
              <c:f>'2025'!$A$27</c:f>
              <c:strCache>
                <c:ptCount val="1"/>
                <c:pt idx="0">
                  <c:v>Gasolinas Mezcla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'2025'!$B$27:$H$27</c:f>
              <c:numCache>
                <c:formatCode>#,##0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AC8-4151-9B6F-B9D08E5925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096472"/>
        <c:axId val="431096800"/>
      </c:lineChart>
      <c:valAx>
        <c:axId val="43109680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472"/>
        <c:crosses val="autoZero"/>
        <c:crossBetween val="between"/>
      </c:valAx>
      <c:dateAx>
        <c:axId val="4310964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80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Querosenos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'2025'!$A$28</c:f>
              <c:strCache>
                <c:ptCount val="1"/>
                <c:pt idx="0">
                  <c:v>Queroseno aviac. Jet A1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'2025'!$B$28:$M$28</c:f>
              <c:numCache>
                <c:formatCode>#,##0</c:formatCode>
                <c:ptCount val="12"/>
                <c:pt idx="0">
                  <c:v>31.023</c:v>
                </c:pt>
                <c:pt idx="1">
                  <c:v>37.520000000000003</c:v>
                </c:pt>
                <c:pt idx="2">
                  <c:v>47.640999999999998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43-41AE-AA5B-9ECF7C25B518}"/>
            </c:ext>
          </c:extLst>
        </c:ser>
        <c:ser>
          <c:idx val="1"/>
          <c:order val="1"/>
          <c:tx>
            <c:strRef>
              <c:f>'2025'!$A$29</c:f>
              <c:strCache>
                <c:ptCount val="1"/>
                <c:pt idx="0">
                  <c:v>Queroseno aviac. Jet A2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elete val="1"/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'2025'!$B$29:$M$29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43-41AE-AA5B-9ECF7C25B518}"/>
            </c:ext>
          </c:extLst>
        </c:ser>
        <c:ser>
          <c:idx val="2"/>
          <c:order val="2"/>
          <c:tx>
            <c:strRef>
              <c:f>'2025'!$A$30</c:f>
              <c:strCache>
                <c:ptCount val="1"/>
                <c:pt idx="0">
                  <c:v>Otros Querosenos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'2025'!$B$30:$M$30</c:f>
              <c:numCache>
                <c:formatCode>#,##0</c:formatCode>
                <c:ptCount val="12"/>
                <c:pt idx="0">
                  <c:v>801.43600000000004</c:v>
                </c:pt>
                <c:pt idx="1">
                  <c:v>678.79300000000001</c:v>
                </c:pt>
                <c:pt idx="2">
                  <c:v>805.83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43-41AE-AA5B-9ECF7C25B5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3128"/>
        <c:axId val="431324768"/>
      </c:lineChart>
      <c:valAx>
        <c:axId val="43132476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3128"/>
        <c:crosses val="autoZero"/>
        <c:crossBetween val="between"/>
      </c:valAx>
      <c:dateAx>
        <c:axId val="43132312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76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000" b="0" i="0" u="none" strike="noStrike" kern="1200" baseline="0">
              <a:solidFill>
                <a:srgbClr val="000000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'2025'!$A$31</c:f>
              <c:strCache>
                <c:ptCount val="1"/>
                <c:pt idx="0">
                  <c:v>Gasóleo 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'2025'!$B$31:$M$31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6B-4E6F-9ACB-FB601B5F5B71}"/>
            </c:ext>
          </c:extLst>
        </c:ser>
        <c:ser>
          <c:idx val="1"/>
          <c:order val="1"/>
          <c:tx>
            <c:strRef>
              <c:f>'2025'!$A$32</c:f>
              <c:strCache>
                <c:ptCount val="1"/>
                <c:pt idx="0">
                  <c:v>Gasóleo A 10 PPM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'2025'!$B$32:$M$32</c:f>
              <c:numCache>
                <c:formatCode>#,##0</c:formatCode>
                <c:ptCount val="12"/>
                <c:pt idx="0">
                  <c:v>266.14400000000001</c:v>
                </c:pt>
                <c:pt idx="1">
                  <c:v>217.99199999999999</c:v>
                </c:pt>
                <c:pt idx="2">
                  <c:v>275.00900000000001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16B-4E6F-9ACB-FB601B5F5B71}"/>
            </c:ext>
          </c:extLst>
        </c:ser>
        <c:ser>
          <c:idx val="2"/>
          <c:order val="2"/>
          <c:tx>
            <c:strRef>
              <c:f>'2025'!$A$33</c:f>
              <c:strCache>
                <c:ptCount val="1"/>
                <c:pt idx="0">
                  <c:v>Gasóleo B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'2025'!$B$33:$M$33</c:f>
              <c:numCache>
                <c:formatCode>#,##0</c:formatCode>
                <c:ptCount val="12"/>
                <c:pt idx="0">
                  <c:v>16.056999999999999</c:v>
                </c:pt>
                <c:pt idx="1">
                  <c:v>43.819000000000003</c:v>
                </c:pt>
                <c:pt idx="2">
                  <c:v>20.041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16B-4E6F-9ACB-FB601B5F5B71}"/>
            </c:ext>
          </c:extLst>
        </c:ser>
        <c:ser>
          <c:idx val="3"/>
          <c:order val="3"/>
          <c:tx>
            <c:strRef>
              <c:f>'2025'!$A$34</c:f>
              <c:strCache>
                <c:ptCount val="1"/>
                <c:pt idx="0">
                  <c:v>Gasóleo C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'2025'!$B$34:$M$34</c:f>
              <c:numCache>
                <c:formatCode>#,##0</c:formatCode>
                <c:ptCount val="12"/>
                <c:pt idx="0">
                  <c:v>11.744999999999999</c:v>
                </c:pt>
                <c:pt idx="1">
                  <c:v>10.614000000000001</c:v>
                </c:pt>
                <c:pt idx="2">
                  <c:v>11.478999999999999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16B-4E6F-9ACB-FB601B5F5B71}"/>
            </c:ext>
          </c:extLst>
        </c:ser>
        <c:ser>
          <c:idx val="4"/>
          <c:order val="4"/>
          <c:tx>
            <c:strRef>
              <c:f>'2025'!$A$35</c:f>
              <c:strCache>
                <c:ptCount val="1"/>
                <c:pt idx="0">
                  <c:v>Gasóleo para uso marítimo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'2025'!$B$35:$M$35</c:f>
              <c:numCache>
                <c:formatCode>#,##0</c:formatCode>
                <c:ptCount val="12"/>
                <c:pt idx="0">
                  <c:v>69.126999999999995</c:v>
                </c:pt>
                <c:pt idx="1">
                  <c:v>61.704000000000001</c:v>
                </c:pt>
                <c:pt idx="2">
                  <c:v>64.162000000000006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16B-4E6F-9ACB-FB601B5F5B71}"/>
            </c:ext>
          </c:extLst>
        </c:ser>
        <c:ser>
          <c:idx val="5"/>
          <c:order val="5"/>
          <c:tx>
            <c:strRef>
              <c:f>'2025'!$A$36</c:f>
              <c:strCache>
                <c:ptCount val="1"/>
                <c:pt idx="0">
                  <c:v>Diésel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'2025'!$B$36:$M$36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16B-4E6F-9ACB-FB601B5F5B71}"/>
            </c:ext>
          </c:extLst>
        </c:ser>
        <c:ser>
          <c:idx val="6"/>
          <c:order val="6"/>
          <c:tx>
            <c:strRef>
              <c:f>'2025'!$A$37</c:f>
              <c:strCache>
                <c:ptCount val="1"/>
                <c:pt idx="0">
                  <c:v>Otros Gasóleos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'2025'!$B$37:$M$37</c:f>
              <c:numCache>
                <c:formatCode>#,##0</c:formatCode>
                <c:ptCount val="12"/>
                <c:pt idx="0">
                  <c:v>1625.5330000000001</c:v>
                </c:pt>
                <c:pt idx="1">
                  <c:v>1564.296</c:v>
                </c:pt>
                <c:pt idx="2">
                  <c:v>1698.4470000000001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16B-4E6F-9ACB-FB601B5F5B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325096"/>
        <c:axId val="431326080"/>
      </c:lineChart>
      <c:valAx>
        <c:axId val="43132608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5096"/>
        <c:crosses val="autoZero"/>
        <c:crossBetween val="between"/>
      </c:valAx>
      <c:dateAx>
        <c:axId val="43132509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608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Bio's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'2025'!$A$26</c:f>
              <c:strCache>
                <c:ptCount val="1"/>
                <c:pt idx="0">
                  <c:v>Bioetanol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'2025'!$B$26:$M$26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657-42EA-8C78-0CAC1B5873C7}"/>
            </c:ext>
          </c:extLst>
        </c:ser>
        <c:ser>
          <c:idx val="1"/>
          <c:order val="1"/>
          <c:tx>
            <c:strRef>
              <c:f>'2025'!$A$38</c:f>
              <c:strCache>
                <c:ptCount val="1"/>
                <c:pt idx="0">
                  <c:v>Biodiesel</c:v>
                </c:pt>
              </c:strCache>
            </c:strRef>
          </c:tx>
          <c:spPr>
            <a:ln w="28575" cap="rnd" cmpd="sng" algn="ctr">
              <a:solidFill>
                <a:schemeClr val="accent2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'2025'!$B$38:$M$38</c:f>
              <c:numCache>
                <c:formatCode>#,##0</c:formatCode>
                <c:ptCount val="12"/>
                <c:pt idx="0">
                  <c:v>27.832000000000001</c:v>
                </c:pt>
                <c:pt idx="1">
                  <c:v>31.614999999999998</c:v>
                </c:pt>
                <c:pt idx="2">
                  <c:v>33.893999999999998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657-42EA-8C78-0CAC1B5873C7}"/>
            </c:ext>
          </c:extLst>
        </c:ser>
        <c:ser>
          <c:idx val="2"/>
          <c:order val="2"/>
          <c:tx>
            <c:strRef>
              <c:f>'2025'!$A$39</c:f>
              <c:strCache>
                <c:ptCount val="1"/>
                <c:pt idx="0">
                  <c:v>Biodiesel Mezcla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'2025'!$B$39:$M$39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657-42EA-8C78-0CAC1B5873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2472"/>
        <c:axId val="431321488"/>
      </c:lineChart>
      <c:valAx>
        <c:axId val="43132148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2472"/>
        <c:crosses val="autoZero"/>
        <c:crossBetween val="between"/>
      </c:valAx>
      <c:dateAx>
        <c:axId val="43132247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148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Fuelóleos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'2025'!$A$40</c:f>
              <c:strCache>
                <c:ptCount val="1"/>
                <c:pt idx="0">
                  <c:v>Fuelóleo 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'2025'!$B$40:$M$40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4A6-4C26-B72E-81DC6E77755C}"/>
            </c:ext>
          </c:extLst>
        </c:ser>
        <c:ser>
          <c:idx val="1"/>
          <c:order val="1"/>
          <c:tx>
            <c:strRef>
              <c:f>'2025'!$A$41</c:f>
              <c:strCache>
                <c:ptCount val="1"/>
                <c:pt idx="0">
                  <c:v>Fuelóleo de refineria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'2025'!$B$41:$M$41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8.0000000000000002E-3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4A6-4C26-B72E-81DC6E77755C}"/>
            </c:ext>
          </c:extLst>
        </c:ser>
        <c:ser>
          <c:idx val="2"/>
          <c:order val="2"/>
          <c:tx>
            <c:strRef>
              <c:f>'2025'!$A$42</c:f>
              <c:strCache>
                <c:ptCount val="1"/>
                <c:pt idx="0">
                  <c:v>Otros combustibles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'2025'!$B$42:$M$42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4A6-4C26-B72E-81DC6E77755C}"/>
            </c:ext>
          </c:extLst>
        </c:ser>
        <c:ser>
          <c:idx val="3"/>
          <c:order val="3"/>
          <c:tx>
            <c:strRef>
              <c:f>'2025'!$A$43</c:f>
              <c:strCache>
                <c:ptCount val="1"/>
                <c:pt idx="0">
                  <c:v>Otros Fuelóleos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"/>
                  <c:y val="-4.93589693762397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A6-4C26-B72E-81DC6E77755C}"/>
                </c:ext>
              </c:extLst>
            </c:dLbl>
            <c:dLbl>
              <c:idx val="5"/>
              <c:layout>
                <c:manualLayout>
                  <c:x val="8.076006883047028E-3"/>
                  <c:y val="-4.9358969376239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A6-4C26-B72E-81DC6E77755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'2025'!$B$43:$M$43</c:f>
              <c:numCache>
                <c:formatCode>#,##0</c:formatCode>
                <c:ptCount val="12"/>
                <c:pt idx="0">
                  <c:v>352.94900000000001</c:v>
                </c:pt>
                <c:pt idx="1">
                  <c:v>324.98</c:v>
                </c:pt>
                <c:pt idx="2">
                  <c:v>220.25399999999999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A6-4C26-B72E-81DC6E7775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7392"/>
        <c:axId val="431324440"/>
      </c:lineChart>
      <c:valAx>
        <c:axId val="43132444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00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7392"/>
        <c:crosses val="autoZero"/>
        <c:crossBetween val="between"/>
      </c:valAx>
      <c:dateAx>
        <c:axId val="43132739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44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Productos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'2025'!$A$44</c:f>
              <c:strCache>
                <c:ptCount val="1"/>
                <c:pt idx="0">
                  <c:v>Aceites y bases lubricantes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'2025'!$B$44:$M$44</c:f>
              <c:numCache>
                <c:formatCode>#,##0</c:formatCode>
                <c:ptCount val="12"/>
                <c:pt idx="0">
                  <c:v>25.298999999999999</c:v>
                </c:pt>
                <c:pt idx="1">
                  <c:v>20.347000000000001</c:v>
                </c:pt>
                <c:pt idx="2">
                  <c:v>23.401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435-4646-BF19-4B04FFC56F34}"/>
            </c:ext>
          </c:extLst>
        </c:ser>
        <c:ser>
          <c:idx val="1"/>
          <c:order val="1"/>
          <c:tx>
            <c:strRef>
              <c:f>'2025'!$A$45</c:f>
              <c:strCache>
                <c:ptCount val="1"/>
                <c:pt idx="0">
                  <c:v>Productos asfálticos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4.1648917993095058E-2"/>
                  <c:y val="6.20563273910943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35-4646-BF19-4B04FFC56F34}"/>
                </c:ext>
              </c:extLst>
            </c:dLbl>
            <c:dLbl>
              <c:idx val="6"/>
              <c:layout>
                <c:manualLayout>
                  <c:x val="-3.3377059117520855E-2"/>
                  <c:y val="5.31257405530915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35-4646-BF19-4B04FFC56F34}"/>
                </c:ext>
              </c:extLst>
            </c:dLbl>
            <c:dLbl>
              <c:idx val="7"/>
              <c:layout>
                <c:manualLayout>
                  <c:x val="-4.9920776868669366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35-4646-BF19-4B04FFC56F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'2025'!$B$45:$M$45</c:f>
              <c:numCache>
                <c:formatCode>#,##0</c:formatCode>
                <c:ptCount val="12"/>
                <c:pt idx="0">
                  <c:v>116.541</c:v>
                </c:pt>
                <c:pt idx="1">
                  <c:v>119.774</c:v>
                </c:pt>
                <c:pt idx="2">
                  <c:v>101.82599999999999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435-4646-BF19-4B04FFC56F34}"/>
            </c:ext>
          </c:extLst>
        </c:ser>
        <c:ser>
          <c:idx val="2"/>
          <c:order val="2"/>
          <c:tx>
            <c:strRef>
              <c:f>'2025'!$A$46</c:f>
              <c:strCache>
                <c:ptCount val="1"/>
                <c:pt idx="0">
                  <c:v>Disolventes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'2025'!$B$46:$M$46</c:f>
              <c:numCache>
                <c:formatCode>#,##0</c:formatCode>
                <c:ptCount val="12"/>
                <c:pt idx="0">
                  <c:v>10.762</c:v>
                </c:pt>
                <c:pt idx="1">
                  <c:v>9.2319999999999993</c:v>
                </c:pt>
                <c:pt idx="2">
                  <c:v>11.792999999999999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435-4646-BF19-4B04FFC56F34}"/>
            </c:ext>
          </c:extLst>
        </c:ser>
        <c:ser>
          <c:idx val="3"/>
          <c:order val="3"/>
          <c:tx>
            <c:strRef>
              <c:f>'2025'!$A$47</c:f>
              <c:strCache>
                <c:ptCount val="1"/>
                <c:pt idx="0">
                  <c:v>Parafinas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'2025'!$B$47:$M$47</c:f>
              <c:numCache>
                <c:formatCode>#,##0</c:formatCode>
                <c:ptCount val="12"/>
                <c:pt idx="0">
                  <c:v>5.4790000000000001</c:v>
                </c:pt>
                <c:pt idx="1">
                  <c:v>5.742</c:v>
                </c:pt>
                <c:pt idx="2">
                  <c:v>5.3330000000000002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D435-4646-BF19-4B04FFC56F34}"/>
            </c:ext>
          </c:extLst>
        </c:ser>
        <c:ser>
          <c:idx val="4"/>
          <c:order val="4"/>
          <c:tx>
            <c:strRef>
              <c:f>'2025'!$A$49</c:f>
              <c:strCache>
                <c:ptCount val="1"/>
                <c:pt idx="0">
                  <c:v>Otros Productos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"/>
              <c:layout>
                <c:manualLayout>
                  <c:x val="-4.4406204284953163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35-4646-BF19-4B04FFC56F34}"/>
                </c:ext>
              </c:extLst>
            </c:dLbl>
            <c:dLbl>
              <c:idx val="6"/>
              <c:layout>
                <c:manualLayout>
                  <c:x val="-3.613434540937896E-2"/>
                  <c:y val="-4.06454212459364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435-4646-BF19-4B04FFC56F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'2025'!$B$49:$M$49</c:f>
              <c:numCache>
                <c:formatCode>#,##0</c:formatCode>
                <c:ptCount val="12"/>
                <c:pt idx="0">
                  <c:v>280.41699999999946</c:v>
                </c:pt>
                <c:pt idx="1">
                  <c:v>186.78799999999956</c:v>
                </c:pt>
                <c:pt idx="2">
                  <c:v>254.91700000000128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D435-4646-BF19-4B04FFC56F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524736"/>
        <c:axId val="431527360"/>
      </c:lineChart>
      <c:valAx>
        <c:axId val="43152736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4736"/>
        <c:crosses val="autoZero"/>
        <c:crossBetween val="between"/>
      </c:valAx>
      <c:dateAx>
        <c:axId val="43152473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736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Coque de Petróleo (kt)</a:t>
            </a:r>
          </a:p>
        </c:rich>
      </c:tx>
      <c:layout>
        <c:manualLayout>
          <c:xMode val="edge"/>
          <c:yMode val="edge"/>
          <c:x val="0.16485628126081409"/>
          <c:y val="2.67716922730993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1494322945229427"/>
          <c:y val="0.17441757515924242"/>
          <c:w val="0.84927340819748931"/>
          <c:h val="0.72207294407808054"/>
        </c:manualLayout>
      </c:layout>
      <c:lineChart>
        <c:grouping val="standard"/>
        <c:varyColors val="0"/>
        <c:ser>
          <c:idx val="0"/>
          <c:order val="0"/>
          <c:tx>
            <c:strRef>
              <c:f>'2025'!$A$48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1268-4DD5-B5E2-1E53CF1D9861}"/>
              </c:ext>
            </c:extLst>
          </c:dPt>
          <c:dPt>
            <c:idx val="1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3-1268-4DD5-B5E2-1E53CF1D9861}"/>
              </c:ext>
            </c:extLst>
          </c:dPt>
          <c:dPt>
            <c:idx val="2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5-1268-4DD5-B5E2-1E53CF1D9861}"/>
              </c:ext>
            </c:extLst>
          </c:dPt>
          <c:dPt>
            <c:idx val="3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7-1268-4DD5-B5E2-1E53CF1D9861}"/>
              </c:ext>
            </c:extLst>
          </c:dPt>
          <c:dPt>
            <c:idx val="4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9-1268-4DD5-B5E2-1E53CF1D9861}"/>
              </c:ext>
            </c:extLst>
          </c:dPt>
          <c:dLbls>
            <c:dLbl>
              <c:idx val="3"/>
              <c:layout>
                <c:manualLayout>
                  <c:x val="6.5060658818575281E-3"/>
                  <c:y val="-3.12336409852826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268-4DD5-B5E2-1E53CF1D9861}"/>
                </c:ext>
              </c:extLst>
            </c:dLbl>
            <c:dLbl>
              <c:idx val="6"/>
              <c:layout>
                <c:manualLayout>
                  <c:x val="-2.9277296468358877E-2"/>
                  <c:y val="-2.230974356091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268-4DD5-B5E2-1E53CF1D98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'2025'!$B$48:$M$48</c:f>
              <c:numCache>
                <c:formatCode>#,##0</c:formatCode>
                <c:ptCount val="12"/>
                <c:pt idx="0">
                  <c:v>260.82100000000003</c:v>
                </c:pt>
                <c:pt idx="1">
                  <c:v>249.82400000000001</c:v>
                </c:pt>
                <c:pt idx="2">
                  <c:v>293.46100000000001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1268-4DD5-B5E2-1E53CF1D98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528672"/>
        <c:axId val="431525392"/>
      </c:lineChart>
      <c:valAx>
        <c:axId val="431525392"/>
        <c:scaling>
          <c:orientation val="minMax"/>
          <c:min val="0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8672"/>
        <c:crosses val="autoZero"/>
        <c:crossBetween val="between"/>
      </c:valAx>
      <c:dateAx>
        <c:axId val="43152867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65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5392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MARZO 2025</c:v>
            </c:pt>
          </c:strCache>
        </c:strRef>
      </c:tx>
      <c:layout>
        <c:manualLayout>
          <c:xMode val="edge"/>
          <c:yMode val="edge"/>
          <c:x val="0.42702007380557216"/>
          <c:y val="3.3333377077922673E-2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40404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'2025'!$AU$6:$AU$8</c:f>
              <c:strCache>
                <c:ptCount val="3"/>
                <c:pt idx="0">
                  <c:v>IMPORTACIONES DE CRUDO</c:v>
                </c:pt>
                <c:pt idx="1">
                  <c:v>TOTAL PROCESADO</c:v>
                </c:pt>
                <c:pt idx="2">
                  <c:v>PRODUCCION BRUTA DE REFINERIA</c:v>
                </c:pt>
              </c:strCache>
            </c:strRef>
          </c:cat>
          <c:val>
            <c:numRef>
              <c:f>'2025'!$AV$6:$AV$8</c:f>
              <c:numCache>
                <c:formatCode>0.0</c:formatCode>
                <c:ptCount val="3"/>
                <c:pt idx="0">
                  <c:v>5310.0219999999999</c:v>
                </c:pt>
                <c:pt idx="1">
                  <c:v>5323.6090000000004</c:v>
                </c:pt>
                <c:pt idx="2">
                  <c:v>5103.1990000000005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85-4453-A9BC-B70C5C897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3221368"/>
        <c:axId val="423226944"/>
      </c:barChart>
      <c:valAx>
        <c:axId val="42322694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1368"/>
        <c:crosses val="autoZero"/>
        <c:crossBetween val="between"/>
      </c:valAx>
      <c:catAx>
        <c:axId val="423221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69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MARZO 2025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ED7D31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3B48-4133-862E-FD938CA0B236}"/>
              </c:ext>
            </c:extLst>
          </c:dPt>
          <c:dLbls>
            <c:dLbl>
              <c:idx val="2"/>
              <c:layout>
                <c:manualLayout>
                  <c:x val="4.660804613773939E-3"/>
                  <c:y val="8.44372473510407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48-4133-862E-FD938CA0B23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'2025'!$AU$11:$AU$15</c:f>
              <c:strCache>
                <c:ptCount val="5"/>
                <c:pt idx="0">
                  <c:v>IMPORTACIONES DE PROD. INTERMEDIOS Y MAT. AUXILIARES</c:v>
                </c:pt>
                <c:pt idx="1">
                  <c:v>VARIACION DE STOCKS DE CRUDOS (Ef-Ei)</c:v>
                </c:pt>
                <c:pt idx="2">
                  <c:v>APROVISIONAMIENTO DE PROD. INTERMEDIOS Y MAT. AUXILIARES</c:v>
                </c:pt>
                <c:pt idx="3">
                  <c:v>PRODUCTOS TRASPASADOS Y BACKFLOWS</c:v>
                </c:pt>
                <c:pt idx="4">
                  <c:v>CONSUMO DIRECTO DE CRUDO</c:v>
                </c:pt>
              </c:strCache>
            </c:strRef>
          </c:cat>
          <c:val>
            <c:numRef>
              <c:f>'2025'!$AV$11:$AV$15</c:f>
              <c:numCache>
                <c:formatCode>0.0</c:formatCode>
                <c:ptCount val="5"/>
                <c:pt idx="0">
                  <c:v>-73.728000000000065</c:v>
                </c:pt>
                <c:pt idx="1">
                  <c:v>-7.0119999999999996</c:v>
                </c:pt>
                <c:pt idx="2">
                  <c:v>-56.305</c:v>
                </c:pt>
                <c:pt idx="3">
                  <c:v>23.821999999999999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48-4133-862E-FD938CA0B2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337208"/>
        <c:axId val="430334584"/>
      </c:barChart>
      <c:valAx>
        <c:axId val="43033458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208"/>
        <c:crosses val="autoZero"/>
        <c:crossBetween val="between"/>
      </c:valAx>
      <c:catAx>
        <c:axId val="4303372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45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MARZO 2025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'2025'!$AU$17:$AU$50</c:f>
              <c:strCache>
                <c:ptCount val="34"/>
                <c:pt idx="0">
                  <c:v>Gas Refinería</c:v>
                </c:pt>
                <c:pt idx="1">
                  <c:v>Etano</c:v>
                </c:pt>
                <c:pt idx="2">
                  <c:v>Butano</c:v>
                </c:pt>
                <c:pt idx="3">
                  <c:v>Propano</c:v>
                </c:pt>
                <c:pt idx="4">
                  <c:v>Nafta</c:v>
                </c:pt>
                <c:pt idx="5">
                  <c:v>Gasolina 97 I.O.</c:v>
                </c:pt>
                <c:pt idx="6">
                  <c:v>Gasolina 95 I.O.</c:v>
                </c:pt>
                <c:pt idx="7">
                  <c:v>Gasolina 98 I.O.</c:v>
                </c:pt>
                <c:pt idx="8">
                  <c:v>Gasolina de Aviación</c:v>
                </c:pt>
                <c:pt idx="9">
                  <c:v>Otras Gasolinas</c:v>
                </c:pt>
                <c:pt idx="10">
                  <c:v>Bioetanol</c:v>
                </c:pt>
                <c:pt idx="11">
                  <c:v>Gasolinas Mezcla</c:v>
                </c:pt>
                <c:pt idx="12">
                  <c:v>Queroseno aviac. Jet A1</c:v>
                </c:pt>
                <c:pt idx="13">
                  <c:v>Queroseno aviac. Jet A2</c:v>
                </c:pt>
                <c:pt idx="14">
                  <c:v>Otros Querosenos</c:v>
                </c:pt>
                <c:pt idx="15">
                  <c:v>Gasóleo A</c:v>
                </c:pt>
                <c:pt idx="16">
                  <c:v>Gasóleo A 10 PPM</c:v>
                </c:pt>
                <c:pt idx="17">
                  <c:v>Gasóleo B</c:v>
                </c:pt>
                <c:pt idx="18">
                  <c:v>Gasóleo C</c:v>
                </c:pt>
                <c:pt idx="19">
                  <c:v>Gasóleo para uso marítimo</c:v>
                </c:pt>
                <c:pt idx="20">
                  <c:v>Diésel para uso marítimo</c:v>
                </c:pt>
                <c:pt idx="21">
                  <c:v>Otros Gasóleos</c:v>
                </c:pt>
                <c:pt idx="22">
                  <c:v>Biodiesel</c:v>
                </c:pt>
                <c:pt idx="23">
                  <c:v>Biodiesel Mezcla</c:v>
                </c:pt>
                <c:pt idx="24">
                  <c:v>Fuelóleo BIA</c:v>
                </c:pt>
                <c:pt idx="25">
                  <c:v>Fuelóleo de refineria</c:v>
                </c:pt>
                <c:pt idx="26">
                  <c:v>Otros combustibles para uso marítimo</c:v>
                </c:pt>
                <c:pt idx="27">
                  <c:v>Otros Fuelóleos</c:v>
                </c:pt>
                <c:pt idx="28">
                  <c:v>Aceites y bases lubricantes</c:v>
                </c:pt>
                <c:pt idx="29">
                  <c:v>Productos asfálticos</c:v>
                </c:pt>
                <c:pt idx="30">
                  <c:v>Disolventes</c:v>
                </c:pt>
                <c:pt idx="31">
                  <c:v>Parafinas</c:v>
                </c:pt>
                <c:pt idx="32">
                  <c:v>Coque de petróleo</c:v>
                </c:pt>
                <c:pt idx="33">
                  <c:v>Otros Productos</c:v>
                </c:pt>
              </c:strCache>
            </c:strRef>
          </c:cat>
          <c:val>
            <c:numRef>
              <c:f>'2025'!$AV$17:$AV$50</c:f>
              <c:numCache>
                <c:formatCode>0.0</c:formatCode>
                <c:ptCount val="34"/>
                <c:pt idx="0">
                  <c:v>216.68299999999999</c:v>
                </c:pt>
                <c:pt idx="1">
                  <c:v>0</c:v>
                </c:pt>
                <c:pt idx="2">
                  <c:v>96.242000000000004</c:v>
                </c:pt>
                <c:pt idx="3">
                  <c:v>0</c:v>
                </c:pt>
                <c:pt idx="4">
                  <c:v>132.67400000000001</c:v>
                </c:pt>
                <c:pt idx="5">
                  <c:v>0</c:v>
                </c:pt>
                <c:pt idx="6">
                  <c:v>80.259</c:v>
                </c:pt>
                <c:pt idx="7">
                  <c:v>7.1070000000000002</c:v>
                </c:pt>
                <c:pt idx="8">
                  <c:v>0</c:v>
                </c:pt>
                <c:pt idx="9">
                  <c:v>702.73799999999994</c:v>
                </c:pt>
                <c:pt idx="10">
                  <c:v>0</c:v>
                </c:pt>
                <c:pt idx="11">
                  <c:v>0</c:v>
                </c:pt>
                <c:pt idx="12">
                  <c:v>47.640999999999998</c:v>
                </c:pt>
                <c:pt idx="13">
                  <c:v>0</c:v>
                </c:pt>
                <c:pt idx="14">
                  <c:v>805.83</c:v>
                </c:pt>
                <c:pt idx="15">
                  <c:v>0</c:v>
                </c:pt>
                <c:pt idx="16">
                  <c:v>275.00900000000001</c:v>
                </c:pt>
                <c:pt idx="17">
                  <c:v>20.041</c:v>
                </c:pt>
                <c:pt idx="18">
                  <c:v>11.478999999999999</c:v>
                </c:pt>
                <c:pt idx="19">
                  <c:v>64.162000000000006</c:v>
                </c:pt>
                <c:pt idx="20">
                  <c:v>0</c:v>
                </c:pt>
                <c:pt idx="21">
                  <c:v>1698.4470000000001</c:v>
                </c:pt>
                <c:pt idx="22">
                  <c:v>33.893999999999998</c:v>
                </c:pt>
                <c:pt idx="23">
                  <c:v>0</c:v>
                </c:pt>
                <c:pt idx="24">
                  <c:v>0</c:v>
                </c:pt>
                <c:pt idx="25">
                  <c:v>8.0000000000000002E-3</c:v>
                </c:pt>
                <c:pt idx="26">
                  <c:v>0</c:v>
                </c:pt>
                <c:pt idx="27">
                  <c:v>220.25399999999999</c:v>
                </c:pt>
                <c:pt idx="28">
                  <c:v>23.401</c:v>
                </c:pt>
                <c:pt idx="29">
                  <c:v>101.82599999999999</c:v>
                </c:pt>
                <c:pt idx="30">
                  <c:v>11.792999999999999</c:v>
                </c:pt>
                <c:pt idx="31">
                  <c:v>5.3330000000000002</c:v>
                </c:pt>
                <c:pt idx="32">
                  <c:v>293.46100000000001</c:v>
                </c:pt>
                <c:pt idx="33">
                  <c:v>254.91700000000128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E1-4C17-91FE-8F9097E68FF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30337864"/>
        <c:axId val="430337536"/>
      </c:barChart>
      <c:valAx>
        <c:axId val="430337536"/>
        <c:scaling>
          <c:orientation val="minMax"/>
          <c:max val="2000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864"/>
        <c:crosses val="autoZero"/>
        <c:crossBetween val="between"/>
      </c:valAx>
      <c:catAx>
        <c:axId val="43033786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5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1">
                <a:latin typeface="Calibri" panose="020F0502020204030204" pitchFamily="34" charset="0"/>
                <a:cs typeface="Calibri" panose="020F0502020204030204" pitchFamily="34" charset="0"/>
              </a:rPr>
              <a:t>Producción Bruta - Gas Refineria (kt)</a:t>
            </a:r>
          </a:p>
        </c:rich>
      </c:tx>
      <c:layout>
        <c:manualLayout>
          <c:xMode val="edge"/>
          <c:yMode val="edge"/>
          <c:x val="0.18324678593978219"/>
          <c:y val="4.17933478007301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'2025'!$A$16</c:f>
              <c:strCache>
                <c:ptCount val="1"/>
                <c:pt idx="0">
                  <c:v>Gas Refinería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'2025'!$B$16:$M$16</c:f>
              <c:numCache>
                <c:formatCode>#,##0</c:formatCode>
                <c:ptCount val="12"/>
                <c:pt idx="0">
                  <c:v>172.095</c:v>
                </c:pt>
                <c:pt idx="1">
                  <c:v>187.18799999999999</c:v>
                </c:pt>
                <c:pt idx="2">
                  <c:v>216.68299999999999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FD0-435C-B9C8-DB88191F0E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1032240"/>
        <c:axId val="581032896"/>
      </c:lineChart>
      <c:dateAx>
        <c:axId val="581032240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896"/>
        <c:crosses val="autoZero"/>
        <c:auto val="1"/>
        <c:lblOffset val="100"/>
        <c:baseTimeUnit val="months"/>
      </c:dateAx>
      <c:valAx>
        <c:axId val="581032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  <a:ea typeface="+mn-ea"/>
                <a:cs typeface="+mn-cs"/>
              </a:rPr>
              <a:t>PRODUCCION BRUTA DE REFINERIA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'2025'!$A$15</c:f>
              <c:strCache>
                <c:ptCount val="1"/>
                <c:pt idx="0">
                  <c:v>PRODUCCION BRUTA DE REFINERIA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68EE-466E-B2C5-BE4643FEF595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</c:numCache>
            </c:numRef>
          </c:cat>
          <c:val>
            <c:numRef>
              <c:f>'2025'!$B$15:$M$15</c:f>
              <c:numCache>
                <c:formatCode>#,##0</c:formatCode>
                <c:ptCount val="12"/>
                <c:pt idx="0">
                  <c:v>5148.4669999999987</c:v>
                </c:pt>
                <c:pt idx="1">
                  <c:v>4695.0320000000002</c:v>
                </c:pt>
                <c:pt idx="2">
                  <c:v>5103.1990000000005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EE-466E-B2C5-BE4643FEF59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NACIONAL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Evolución_Anual!$B$2:$M$2</c:f>
              <c:numCache>
                <c:formatCode>0.00</c:formatCode>
                <c:ptCount val="12"/>
                <c:pt idx="0" formatCode="#,##0">
                  <c:v>368.34000000000003</c:v>
                </c:pt>
                <c:pt idx="1">
                  <c:v>305.411</c:v>
                </c:pt>
                <c:pt idx="2">
                  <c:v>232.244</c:v>
                </c:pt>
                <c:pt idx="3" formatCode="#,##0">
                  <c:v>140.89499999999998</c:v>
                </c:pt>
                <c:pt idx="4" formatCode="#,##0">
                  <c:v>120.10500000000002</c:v>
                </c:pt>
                <c:pt idx="5" formatCode="#,##0">
                  <c:v>86.990999999999985</c:v>
                </c:pt>
                <c:pt idx="6" formatCode="#,##0">
                  <c:v>40.245000000000005</c:v>
                </c:pt>
                <c:pt idx="7" formatCode="#,##0">
                  <c:v>27.536000000000001</c:v>
                </c:pt>
                <c:pt idx="8" formatCode="#,##0">
                  <c:v>5.8159999999999998</c:v>
                </c:pt>
                <c:pt idx="9" formatCode="#,##0">
                  <c:v>0.91199999999999992</c:v>
                </c:pt>
                <c:pt idx="10" formatCode="0">
                  <c:v>0.67200000000000004</c:v>
                </c:pt>
                <c:pt idx="11" formatCode="0">
                  <c:v>0.59899999999999998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5A-4F67-8371-AEB70D99A1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522112"/>
        <c:axId val="431526376"/>
      </c:areaChart>
      <c:valAx>
        <c:axId val="43152637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2112"/>
        <c:crosses val="autoZero"/>
        <c:crossBetween val="midCat"/>
      </c:valAx>
      <c:catAx>
        <c:axId val="4315221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637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IMPORTACIONES DE CRUDO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Evolución_Anual!$B$3:$M$3</c:f>
              <c:numCache>
                <c:formatCode>0.00</c:formatCode>
                <c:ptCount val="12"/>
                <c:pt idx="0" formatCode="#,##0">
                  <c:v>57871</c:v>
                </c:pt>
                <c:pt idx="1">
                  <c:v>59054</c:v>
                </c:pt>
                <c:pt idx="2">
                  <c:v>64726</c:v>
                </c:pt>
                <c:pt idx="3" formatCode="#,##0">
                  <c:v>64171</c:v>
                </c:pt>
                <c:pt idx="4" formatCode="#,##0">
                  <c:v>65958</c:v>
                </c:pt>
                <c:pt idx="5" formatCode="#,##0">
                  <c:v>67586</c:v>
                </c:pt>
                <c:pt idx="6" formatCode="#,##0">
                  <c:v>66319</c:v>
                </c:pt>
                <c:pt idx="7" formatCode="#,##0">
                  <c:v>54852</c:v>
                </c:pt>
                <c:pt idx="8" formatCode="#,##0">
                  <c:v>56171.787000000004</c:v>
                </c:pt>
                <c:pt idx="9" formatCode="#,##0">
                  <c:v>63595.529000000002</c:v>
                </c:pt>
                <c:pt idx="10" formatCode="0">
                  <c:v>61558.654000000002</c:v>
                </c:pt>
                <c:pt idx="11" formatCode="0">
                  <c:v>64588.152999999998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61-4D1C-90E7-9E3D9CB146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525064"/>
        <c:axId val="431523752"/>
      </c:areaChart>
      <c:valAx>
        <c:axId val="431523752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5064"/>
        <c:crosses val="autoZero"/>
        <c:crossBetween val="midCat"/>
      </c:valAx>
      <c:catAx>
        <c:axId val="4315250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375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Queroseno de aviación (kt)</a:t>
            </a:r>
          </a:p>
        </c:rich>
      </c:tx>
      <c:layout>
        <c:manualLayout>
          <c:xMode val="edge"/>
          <c:yMode val="edge"/>
          <c:x val="0.14063127862406891"/>
          <c:y val="2.9649563174775614E-2"/>
        </c:manualLayout>
      </c:layout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Evolución_Anual!$A$25</c:f>
              <c:strCache>
                <c:ptCount val="1"/>
                <c:pt idx="0">
                  <c:v>Queroseno aviac. Jet A1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Evolución_Anual!$B$25:$M$25</c:f>
              <c:numCache>
                <c:formatCode>0.00</c:formatCode>
                <c:ptCount val="12"/>
                <c:pt idx="0" formatCode="#,##0">
                  <c:v>148.95000000000002</c:v>
                </c:pt>
                <c:pt idx="1">
                  <c:v>197.20900000000003</c:v>
                </c:pt>
                <c:pt idx="2">
                  <c:v>225.935</c:v>
                </c:pt>
                <c:pt idx="3" formatCode="#,##0">
                  <c:v>213.608</c:v>
                </c:pt>
                <c:pt idx="4" formatCode="#,##0">
                  <c:v>188.614</c:v>
                </c:pt>
                <c:pt idx="5" formatCode="#,##0">
                  <c:v>380.85499999999996</c:v>
                </c:pt>
                <c:pt idx="6" formatCode="#,##0">
                  <c:v>454.21</c:v>
                </c:pt>
                <c:pt idx="7" formatCode="#,##0">
                  <c:v>155.31899999999996</c:v>
                </c:pt>
                <c:pt idx="8" formatCode="#,##0">
                  <c:v>315.61900000000003</c:v>
                </c:pt>
                <c:pt idx="9" formatCode="#,##0">
                  <c:v>427.49299999999994</c:v>
                </c:pt>
                <c:pt idx="10" formatCode="0">
                  <c:v>398.375</c:v>
                </c:pt>
                <c:pt idx="11" formatCode="0">
                  <c:v>524.63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EE-4204-84E0-ED129C712E56}"/>
            </c:ext>
          </c:extLst>
        </c:ser>
        <c:ser>
          <c:idx val="1"/>
          <c:order val="1"/>
          <c:tx>
            <c:strRef>
              <c:f>Evolución_Anual!$A$26</c:f>
              <c:strCache>
                <c:ptCount val="1"/>
                <c:pt idx="0">
                  <c:v>Queroseno aviac. Jet A2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Evolución_Anual!$B$26:$M$26</c:f>
              <c:numCache>
                <c:formatCode>0.00</c:formatCode>
                <c:ptCount val="12"/>
                <c:pt idx="0" formatCode="#,##0">
                  <c:v>2.2000000000000002E-2</c:v>
                </c:pt>
                <c:pt idx="1">
                  <c:v>3.0000000000000002E-2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EE-4204-84E0-ED129C712E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95080"/>
        <c:axId val="432185568"/>
      </c:lineChart>
      <c:valAx>
        <c:axId val="43218556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5080"/>
        <c:crosses val="autoZero"/>
        <c:crossBetween val="between"/>
      </c:valAx>
      <c:catAx>
        <c:axId val="43219508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8556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Otros Querosenos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Evolución_Anual!$A$27</c:f>
              <c:strCache>
                <c:ptCount val="1"/>
                <c:pt idx="0">
                  <c:v>Otros Querosenos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Evolución_Anual!$B$27:$M$27</c:f>
              <c:numCache>
                <c:formatCode>0.00</c:formatCode>
                <c:ptCount val="12"/>
                <c:pt idx="0" formatCode="#,##0">
                  <c:v>8477.628999999999</c:v>
                </c:pt>
                <c:pt idx="1">
                  <c:v>8678.8389999999999</c:v>
                </c:pt>
                <c:pt idx="2">
                  <c:v>9285.3820000000014</c:v>
                </c:pt>
                <c:pt idx="3" formatCode="#,##0">
                  <c:v>8672.6139999999996</c:v>
                </c:pt>
                <c:pt idx="4" formatCode="#,##0">
                  <c:v>9300.3379999999997</c:v>
                </c:pt>
                <c:pt idx="5" formatCode="#,##0">
                  <c:v>10038.733</c:v>
                </c:pt>
                <c:pt idx="6" formatCode="#,##0">
                  <c:v>9816.6459999999988</c:v>
                </c:pt>
                <c:pt idx="7" formatCode="#,##0">
                  <c:v>7838.5070000000005</c:v>
                </c:pt>
                <c:pt idx="8" formatCode="#,##0">
                  <c:v>8378.6840000000011</c:v>
                </c:pt>
                <c:pt idx="9" formatCode="#,##0">
                  <c:v>9153.7040000000015</c:v>
                </c:pt>
                <c:pt idx="10" formatCode="0">
                  <c:v>9387.0400000000009</c:v>
                </c:pt>
                <c:pt idx="11" formatCode="0">
                  <c:v>9844.6370000000006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42-4397-9CF7-C728C30C9F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2186880"/>
        <c:axId val="432186224"/>
      </c:areaChart>
      <c:valAx>
        <c:axId val="43218622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86880"/>
        <c:crosses val="autoZero"/>
        <c:crossBetween val="midCat"/>
      </c:valAx>
      <c:catAx>
        <c:axId val="432186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862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 Refinería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Evolución_Anual!$B$13:$M$13</c:f>
              <c:numCache>
                <c:formatCode>0.00</c:formatCode>
                <c:ptCount val="12"/>
                <c:pt idx="0" formatCode="#,##0">
                  <c:v>1879.5739999999998</c:v>
                </c:pt>
                <c:pt idx="1">
                  <c:v>1955.3679999999999</c:v>
                </c:pt>
                <c:pt idx="2">
                  <c:v>2363.9790000000003</c:v>
                </c:pt>
                <c:pt idx="3" formatCode="#,##0">
                  <c:v>2365.8740000000003</c:v>
                </c:pt>
                <c:pt idx="4" formatCode="#,##0">
                  <c:v>2346.299</c:v>
                </c:pt>
                <c:pt idx="5" formatCode="#,##0">
                  <c:v>2236.3780000000002</c:v>
                </c:pt>
                <c:pt idx="6" formatCode="#,##0">
                  <c:v>2113.3359999999998</c:v>
                </c:pt>
                <c:pt idx="7" formatCode="#,##0">
                  <c:v>1907.335</c:v>
                </c:pt>
                <c:pt idx="8" formatCode="#,##0">
                  <c:v>1952.643</c:v>
                </c:pt>
                <c:pt idx="9" formatCode="#,##0">
                  <c:v>2704.739</c:v>
                </c:pt>
                <c:pt idx="10" formatCode="0">
                  <c:v>2094.491</c:v>
                </c:pt>
                <c:pt idx="11" formatCode="0">
                  <c:v>2051.183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93-4400-BAFF-DF114EA84F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1695200"/>
        <c:axId val="431696184"/>
      </c:barChart>
      <c:valAx>
        <c:axId val="43169618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5200"/>
        <c:crosses val="autoZero"/>
        <c:crossBetween val="between"/>
      </c:valAx>
      <c:catAx>
        <c:axId val="43169520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61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 (kt)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Evolución_Anual!$A$14</c:f>
              <c:strCache>
                <c:ptCount val="1"/>
                <c:pt idx="0">
                  <c:v>Etano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Evolución_Anual!$B$14:$M$14</c:f>
              <c:numCache>
                <c:formatCode>0.00</c:formatCode>
                <c:ptCount val="12"/>
                <c:pt idx="0" formatCode="#,##0">
                  <c:v>0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96-4D1A-BA9F-4177E1791E30}"/>
            </c:ext>
          </c:extLst>
        </c:ser>
        <c:ser>
          <c:idx val="1"/>
          <c:order val="1"/>
          <c:tx>
            <c:strRef>
              <c:f>Evolución_Anual!$A$15</c:f>
              <c:strCache>
                <c:ptCount val="1"/>
                <c:pt idx="0">
                  <c:v>Butano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Evolución_Anual!$B$15:$M$15</c:f>
              <c:numCache>
                <c:formatCode>0.00</c:formatCode>
                <c:ptCount val="12"/>
                <c:pt idx="0" formatCode="#,##0">
                  <c:v>1144.5999999999999</c:v>
                </c:pt>
                <c:pt idx="1">
                  <c:v>1112.5830000000001</c:v>
                </c:pt>
                <c:pt idx="2">
                  <c:v>1173.1079999999999</c:v>
                </c:pt>
                <c:pt idx="3" formatCode="#,##0">
                  <c:v>1178.07</c:v>
                </c:pt>
                <c:pt idx="4" formatCode="#,##0">
                  <c:v>1152.7330000000002</c:v>
                </c:pt>
                <c:pt idx="5" formatCode="#,##0">
                  <c:v>1103.134</c:v>
                </c:pt>
                <c:pt idx="6" formatCode="#,##0">
                  <c:v>958.995</c:v>
                </c:pt>
                <c:pt idx="7" formatCode="#,##0">
                  <c:v>854.30399999999997</c:v>
                </c:pt>
                <c:pt idx="8" formatCode="#,##0">
                  <c:v>1071.2329999999999</c:v>
                </c:pt>
                <c:pt idx="9" formatCode="#,##0">
                  <c:v>1100.6819999999998</c:v>
                </c:pt>
                <c:pt idx="10" formatCode="0">
                  <c:v>1055.7279999999998</c:v>
                </c:pt>
                <c:pt idx="11" formatCode="0">
                  <c:v>1113.3280000000002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96-4D1A-BA9F-4177E1791E30}"/>
            </c:ext>
          </c:extLst>
        </c:ser>
        <c:ser>
          <c:idx val="2"/>
          <c:order val="2"/>
          <c:tx>
            <c:strRef>
              <c:f>Evolución_Anual!$A$16</c:f>
              <c:strCache>
                <c:ptCount val="1"/>
                <c:pt idx="0">
                  <c:v>Propano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Evolución_Anual!$B$16:$M$16</c:f>
              <c:numCache>
                <c:formatCode>0.00</c:formatCode>
                <c:ptCount val="12"/>
                <c:pt idx="0" formatCode="#,##0">
                  <c:v>567.88700000000006</c:v>
                </c:pt>
                <c:pt idx="1">
                  <c:v>462.25600000000003</c:v>
                </c:pt>
                <c:pt idx="2">
                  <c:v>525.89199999999994</c:v>
                </c:pt>
                <c:pt idx="3" formatCode="#,##0">
                  <c:v>362.93</c:v>
                </c:pt>
                <c:pt idx="4" formatCode="#,##0">
                  <c:v>248.26700000000002</c:v>
                </c:pt>
                <c:pt idx="5" formatCode="#,##0">
                  <c:v>207.77599999999998</c:v>
                </c:pt>
                <c:pt idx="6" formatCode="#,##0">
                  <c:v>208.005</c:v>
                </c:pt>
                <c:pt idx="7" formatCode="#,##0">
                  <c:v>65.696000000000026</c:v>
                </c:pt>
                <c:pt idx="8" formatCode="#,##0">
                  <c:v>168.73700000000002</c:v>
                </c:pt>
                <c:pt idx="9" formatCode="#,##0">
                  <c:v>34.631</c:v>
                </c:pt>
                <c:pt idx="10" formatCode="0">
                  <c:v>138.84900000000005</c:v>
                </c:pt>
                <c:pt idx="11" formatCode="0">
                  <c:v>137.88999999999999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96-4D1A-BA9F-4177E1791E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698480"/>
        <c:axId val="431698152"/>
      </c:lineChart>
      <c:valAx>
        <c:axId val="431698152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8480"/>
        <c:crosses val="autoZero"/>
        <c:crossBetween val="between"/>
      </c:valAx>
      <c:catAx>
        <c:axId val="43169848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815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Otras Gasolinas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Evolución_Anual!$A$22</c:f>
              <c:strCache>
                <c:ptCount val="1"/>
                <c:pt idx="0">
                  <c:v>Otras Gasolinas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Evolución_Anual!$B$22:$M$22</c:f>
              <c:numCache>
                <c:formatCode>0.00</c:formatCode>
                <c:ptCount val="12"/>
                <c:pt idx="0" formatCode="#,##0">
                  <c:v>6124.0770000000002</c:v>
                </c:pt>
                <c:pt idx="1">
                  <c:v>5890.1620000000003</c:v>
                </c:pt>
                <c:pt idx="2">
                  <c:v>7961.8929999999991</c:v>
                </c:pt>
                <c:pt idx="3" formatCode="#,##0">
                  <c:v>8475.8809999999994</c:v>
                </c:pt>
                <c:pt idx="4" formatCode="#,##0">
                  <c:v>8150.8120000000008</c:v>
                </c:pt>
                <c:pt idx="5" formatCode="#,##0">
                  <c:v>7954.1570000000011</c:v>
                </c:pt>
                <c:pt idx="6" formatCode="#,##0">
                  <c:v>7914.9160000000002</c:v>
                </c:pt>
                <c:pt idx="7" formatCode="#,##0">
                  <c:v>6711.4719999999998</c:v>
                </c:pt>
                <c:pt idx="8" formatCode="#,##0">
                  <c:v>8425.6710000000003</c:v>
                </c:pt>
                <c:pt idx="9" formatCode="#,##0">
                  <c:v>8600.77</c:v>
                </c:pt>
                <c:pt idx="10" formatCode="0">
                  <c:v>8649.3249999999989</c:v>
                </c:pt>
                <c:pt idx="11" formatCode="0">
                  <c:v>8535.6580000000013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59-457E-A156-8CCB15BACE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523096"/>
        <c:axId val="431524408"/>
      </c:areaChart>
      <c:valAx>
        <c:axId val="43152440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3096"/>
        <c:crosses val="autoZero"/>
        <c:crossBetween val="midCat"/>
      </c:valAx>
      <c:catAx>
        <c:axId val="4315230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44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Evolución_Anual!$A$28</c:f>
              <c:strCache>
                <c:ptCount val="1"/>
                <c:pt idx="0">
                  <c:v>Gasóleo A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Evolución_Anual!$B$28:$M$28</c:f>
              <c:numCache>
                <c:formatCode>0.00</c:formatCode>
                <c:ptCount val="12"/>
                <c:pt idx="0" formatCode="#,##0">
                  <c:v>3.0000000000000001E-3</c:v>
                </c:pt>
                <c:pt idx="1">
                  <c:v>5.0000000000000001E-3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9F-4783-9A2D-5E8482A7866B}"/>
            </c:ext>
          </c:extLst>
        </c:ser>
        <c:ser>
          <c:idx val="1"/>
          <c:order val="1"/>
          <c:tx>
            <c:strRef>
              <c:f>Evolución_Anual!$A$29</c:f>
              <c:strCache>
                <c:ptCount val="1"/>
                <c:pt idx="0">
                  <c:v>Gasóleo A 10 PPM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Evolución_Anual!$B$29:$M$29</c:f>
              <c:numCache>
                <c:formatCode>0.00</c:formatCode>
                <c:ptCount val="12"/>
                <c:pt idx="0" formatCode="#,##0">
                  <c:v>2436.9259999999999</c:v>
                </c:pt>
                <c:pt idx="1">
                  <c:v>2208.1949999999997</c:v>
                </c:pt>
                <c:pt idx="2">
                  <c:v>1983.4960000000001</c:v>
                </c:pt>
                <c:pt idx="3" formatCode="#,##0">
                  <c:v>2904.6060000000007</c:v>
                </c:pt>
                <c:pt idx="4" formatCode="#,##0">
                  <c:v>2956.1630000000005</c:v>
                </c:pt>
                <c:pt idx="5" formatCode="#,##0">
                  <c:v>3166.7429999999995</c:v>
                </c:pt>
                <c:pt idx="6" formatCode="#,##0">
                  <c:v>3181.0829999999996</c:v>
                </c:pt>
                <c:pt idx="7" formatCode="#,##0">
                  <c:v>3224.8609999999999</c:v>
                </c:pt>
                <c:pt idx="8" formatCode="#,##0">
                  <c:v>3061.7809999999999</c:v>
                </c:pt>
                <c:pt idx="9" formatCode="#,##0">
                  <c:v>2962.4490000000001</c:v>
                </c:pt>
                <c:pt idx="10" formatCode="0">
                  <c:v>2479.116</c:v>
                </c:pt>
                <c:pt idx="11" formatCode="0">
                  <c:v>3020.4830000000002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9F-4783-9A2D-5E8482A7866B}"/>
            </c:ext>
          </c:extLst>
        </c:ser>
        <c:ser>
          <c:idx val="2"/>
          <c:order val="2"/>
          <c:tx>
            <c:strRef>
              <c:f>Evolución_Anual!$A$30</c:f>
              <c:strCache>
                <c:ptCount val="1"/>
                <c:pt idx="0">
                  <c:v>Gasóleo B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Evolución_Anual!$B$30:$M$30</c:f>
              <c:numCache>
                <c:formatCode>0.00</c:formatCode>
                <c:ptCount val="12"/>
                <c:pt idx="0" formatCode="#,##0">
                  <c:v>410.09999999999997</c:v>
                </c:pt>
                <c:pt idx="1">
                  <c:v>329.80400000000003</c:v>
                </c:pt>
                <c:pt idx="2">
                  <c:v>249.31899999999999</c:v>
                </c:pt>
                <c:pt idx="3" formatCode="#,##0">
                  <c:v>268.18200000000002</c:v>
                </c:pt>
                <c:pt idx="4" formatCode="#,##0">
                  <c:v>313.66699999999997</c:v>
                </c:pt>
                <c:pt idx="5" formatCode="#,##0">
                  <c:v>332.56800000000004</c:v>
                </c:pt>
                <c:pt idx="6" formatCode="#,##0">
                  <c:v>282.54199999999997</c:v>
                </c:pt>
                <c:pt idx="7" formatCode="#,##0">
                  <c:v>379.303</c:v>
                </c:pt>
                <c:pt idx="8" formatCode="#,##0">
                  <c:v>377.07799999999992</c:v>
                </c:pt>
                <c:pt idx="9" formatCode="#,##0">
                  <c:v>404.28500000000003</c:v>
                </c:pt>
                <c:pt idx="10" formatCode="0">
                  <c:v>270.95500000000004</c:v>
                </c:pt>
                <c:pt idx="11" formatCode="0">
                  <c:v>365.98799999999989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9F-4783-9A2D-5E8482A7866B}"/>
            </c:ext>
          </c:extLst>
        </c:ser>
        <c:ser>
          <c:idx val="3"/>
          <c:order val="3"/>
          <c:tx>
            <c:strRef>
              <c:f>Evolución_Anual!$A$31</c:f>
              <c:strCache>
                <c:ptCount val="1"/>
                <c:pt idx="0">
                  <c:v>Gasóleo C</c:v>
                </c:pt>
              </c:strCache>
            </c:strRef>
          </c:tx>
          <c:spPr>
            <a:ln w="28575" cap="rnd">
              <a:solidFill>
                <a:srgbClr val="FFC000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Evolución_Anual!$B$31:$M$31</c:f>
              <c:numCache>
                <c:formatCode>0.00</c:formatCode>
                <c:ptCount val="12"/>
                <c:pt idx="0" formatCode="#,##0">
                  <c:v>24.143999999999998</c:v>
                </c:pt>
                <c:pt idx="1">
                  <c:v>221.791</c:v>
                </c:pt>
                <c:pt idx="2">
                  <c:v>122.66900000000001</c:v>
                </c:pt>
                <c:pt idx="3" formatCode="#,##0">
                  <c:v>84.996999999999986</c:v>
                </c:pt>
                <c:pt idx="4" formatCode="#,##0">
                  <c:v>121.81199999999998</c:v>
                </c:pt>
                <c:pt idx="5" formatCode="#,##0">
                  <c:v>53.104000000000006</c:v>
                </c:pt>
                <c:pt idx="6" formatCode="#,##0">
                  <c:v>75.085000000000008</c:v>
                </c:pt>
                <c:pt idx="7" formatCode="#,##0">
                  <c:v>63.033000000000001</c:v>
                </c:pt>
                <c:pt idx="8" formatCode="#,##0">
                  <c:v>44.867999999999995</c:v>
                </c:pt>
                <c:pt idx="9" formatCode="#,##0">
                  <c:v>49.397000000000006</c:v>
                </c:pt>
                <c:pt idx="10" formatCode="0">
                  <c:v>92.393000000000001</c:v>
                </c:pt>
                <c:pt idx="11" formatCode="0">
                  <c:v>111.916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59F-4783-9A2D-5E8482A7866B}"/>
            </c:ext>
          </c:extLst>
        </c:ser>
        <c:ser>
          <c:idx val="4"/>
          <c:order val="4"/>
          <c:tx>
            <c:strRef>
              <c:f>Evolución_Anual!$A$32</c:f>
              <c:strCache>
                <c:ptCount val="1"/>
                <c:pt idx="0">
                  <c:v>Gasóleo para uso marítimo</c:v>
                </c:pt>
              </c:strCache>
            </c:strRef>
          </c:tx>
          <c:spPr>
            <a:ln w="28575" cap="rnd">
              <a:solidFill>
                <a:srgbClr val="4472C4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Evolución_Anual!$B$32:$M$32</c:f>
              <c:numCache>
                <c:formatCode>0.00</c:formatCode>
                <c:ptCount val="12"/>
                <c:pt idx="0" formatCode="#,##0">
                  <c:v>13.891999999999999</c:v>
                </c:pt>
                <c:pt idx="1">
                  <c:v>352.39799999999997</c:v>
                </c:pt>
                <c:pt idx="2">
                  <c:v>634.03700000000003</c:v>
                </c:pt>
                <c:pt idx="3" formatCode="#,##0">
                  <c:v>530.70800000000008</c:v>
                </c:pt>
                <c:pt idx="4" formatCode="#,##0">
                  <c:v>377.63900000000001</c:v>
                </c:pt>
                <c:pt idx="5" formatCode="#,##0">
                  <c:v>782.8570000000002</c:v>
                </c:pt>
                <c:pt idx="6" formatCode="#,##0">
                  <c:v>745.18700000000001</c:v>
                </c:pt>
                <c:pt idx="7" formatCode="#,##0">
                  <c:v>889.81500000000005</c:v>
                </c:pt>
                <c:pt idx="8" formatCode="#,##0">
                  <c:v>898.79899999999998</c:v>
                </c:pt>
                <c:pt idx="9" formatCode="#,##0">
                  <c:v>894.15199999999982</c:v>
                </c:pt>
                <c:pt idx="10" formatCode="0">
                  <c:v>664.36899999999991</c:v>
                </c:pt>
                <c:pt idx="11" formatCode="0">
                  <c:v>661.39700000000005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59F-4783-9A2D-5E8482A7866B}"/>
            </c:ext>
          </c:extLst>
        </c:ser>
        <c:ser>
          <c:idx val="5"/>
          <c:order val="5"/>
          <c:tx>
            <c:strRef>
              <c:f>Evolución_Anual!$A$33</c:f>
              <c:strCache>
                <c:ptCount val="1"/>
                <c:pt idx="0">
                  <c:v>Diésel para uso marítimo</c:v>
                </c:pt>
              </c:strCache>
            </c:strRef>
          </c:tx>
          <c:spPr>
            <a:ln w="28575" cap="rnd">
              <a:solidFill>
                <a:srgbClr val="70AD47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Evolución_Anual!$B$33:$M$33</c:f>
              <c:numCache>
                <c:formatCode>0.00</c:formatCode>
                <c:ptCount val="12"/>
                <c:pt idx="0" formatCode="#,##0">
                  <c:v>0.30299999999999999</c:v>
                </c:pt>
                <c:pt idx="1">
                  <c:v>0.17100000000000001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59F-4783-9A2D-5E8482A786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94752"/>
        <c:axId val="432192456"/>
      </c:lineChart>
      <c:valAx>
        <c:axId val="43219245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4752"/>
        <c:crosses val="autoZero"/>
        <c:crossBetween val="between"/>
      </c:valAx>
      <c:catAx>
        <c:axId val="432194752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24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Otros Gasóleos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Evolución_Anual!$A$34</c:f>
              <c:strCache>
                <c:ptCount val="1"/>
                <c:pt idx="0">
                  <c:v>Otros Gasóleos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Evolución_Anual!$B$34:$M$34</c:f>
              <c:numCache>
                <c:formatCode>0.00</c:formatCode>
                <c:ptCount val="12"/>
                <c:pt idx="0" formatCode="#,##0">
                  <c:v>23759.561000000002</c:v>
                </c:pt>
                <c:pt idx="1">
                  <c:v>23998.255999999994</c:v>
                </c:pt>
                <c:pt idx="2">
                  <c:v>24477.329000000005</c:v>
                </c:pt>
                <c:pt idx="3" formatCode="#,##0">
                  <c:v>22853.851999999999</c:v>
                </c:pt>
                <c:pt idx="4" formatCode="#,##0">
                  <c:v>23356.296000000002</c:v>
                </c:pt>
                <c:pt idx="5" formatCode="#,##0">
                  <c:v>22827.504000000001</c:v>
                </c:pt>
                <c:pt idx="6" formatCode="#,##0">
                  <c:v>22851.345999999998</c:v>
                </c:pt>
                <c:pt idx="7" formatCode="#,##0">
                  <c:v>19692.742000000002</c:v>
                </c:pt>
                <c:pt idx="8" formatCode="#,##0">
                  <c:v>19803.856</c:v>
                </c:pt>
                <c:pt idx="9" formatCode="#,##0">
                  <c:v>21713.006999999998</c:v>
                </c:pt>
                <c:pt idx="10" formatCode="0">
                  <c:v>22082.314000000002</c:v>
                </c:pt>
                <c:pt idx="11" formatCode="0">
                  <c:v>20935.054999999997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33-4041-8E80-2532A1EE0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2194424"/>
        <c:axId val="432193440"/>
      </c:areaChart>
      <c:valAx>
        <c:axId val="432193440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4424"/>
        <c:crosses val="autoZero"/>
        <c:crossBetween val="midCat"/>
      </c:valAx>
      <c:catAx>
        <c:axId val="4321944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34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Fuelóleos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Evolución_Anual!$A$37</c:f>
              <c:strCache>
                <c:ptCount val="1"/>
                <c:pt idx="0">
                  <c:v>Fuelóleo BIA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Evolución_Anual!$B$37:$M$37</c:f>
              <c:numCache>
                <c:formatCode>0.00</c:formatCode>
                <c:ptCount val="12"/>
                <c:pt idx="0" formatCode="#,##0">
                  <c:v>97.96</c:v>
                </c:pt>
                <c:pt idx="1">
                  <c:v>43.962000000000003</c:v>
                </c:pt>
                <c:pt idx="2">
                  <c:v>0</c:v>
                </c:pt>
                <c:pt idx="3" formatCode="#,##0">
                  <c:v>1.0999999999999999E-2</c:v>
                </c:pt>
                <c:pt idx="4" formatCode="#,##0">
                  <c:v>2.1000000000000001E-2</c:v>
                </c:pt>
                <c:pt idx="5" formatCode="#,##0">
                  <c:v>1.9E-2</c:v>
                </c:pt>
                <c:pt idx="6" formatCode="#,##0">
                  <c:v>3.6999999999999998E-2</c:v>
                </c:pt>
                <c:pt idx="7" formatCode="#,##0">
                  <c:v>0</c:v>
                </c:pt>
                <c:pt idx="8" formatCode="#,##0">
                  <c:v>1.4999999999999999E-2</c:v>
                </c:pt>
                <c:pt idx="9" formatCode="#,##0">
                  <c:v>0</c:v>
                </c:pt>
                <c:pt idx="10" formatCode="0">
                  <c:v>1E-3</c:v>
                </c:pt>
                <c:pt idx="11" formatCode="0">
                  <c:v>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CE4-49AB-AA0A-3FB87776D48B}"/>
            </c:ext>
          </c:extLst>
        </c:ser>
        <c:ser>
          <c:idx val="1"/>
          <c:order val="1"/>
          <c:tx>
            <c:strRef>
              <c:f>Evolución_Anual!$A$38</c:f>
              <c:strCache>
                <c:ptCount val="1"/>
                <c:pt idx="0">
                  <c:v>Fuelóleo de refineria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Evolución_Anual!$B$38:$M$38</c:f>
              <c:numCache>
                <c:formatCode>0.00</c:formatCode>
                <c:ptCount val="12"/>
                <c:pt idx="0" formatCode="#,##0">
                  <c:v>10.284000000000001</c:v>
                </c:pt>
                <c:pt idx="1">
                  <c:v>50.414000000000001</c:v>
                </c:pt>
                <c:pt idx="2">
                  <c:v>36.086000000000006</c:v>
                </c:pt>
                <c:pt idx="3" formatCode="#,##0">
                  <c:v>6.875</c:v>
                </c:pt>
                <c:pt idx="4" formatCode="#,##0">
                  <c:v>39.305</c:v>
                </c:pt>
                <c:pt idx="5" formatCode="#,##0">
                  <c:v>70.665000000000006</c:v>
                </c:pt>
                <c:pt idx="6" formatCode="#,##0">
                  <c:v>23.421000000000003</c:v>
                </c:pt>
                <c:pt idx="7" formatCode="#,##0">
                  <c:v>75.243999999999986</c:v>
                </c:pt>
                <c:pt idx="8" formatCode="#,##0">
                  <c:v>74.864000000000004</c:v>
                </c:pt>
                <c:pt idx="9" formatCode="#,##0">
                  <c:v>0.97200000000000031</c:v>
                </c:pt>
                <c:pt idx="10" formatCode="0">
                  <c:v>5.0659999999999998</c:v>
                </c:pt>
                <c:pt idx="11" formatCode="0">
                  <c:v>5.8289999999999997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CE4-49AB-AA0A-3FB87776D48B}"/>
            </c:ext>
          </c:extLst>
        </c:ser>
        <c:ser>
          <c:idx val="2"/>
          <c:order val="2"/>
          <c:tx>
            <c:strRef>
              <c:f>Evolución_Anual!$A$39</c:f>
              <c:strCache>
                <c:ptCount val="1"/>
                <c:pt idx="0">
                  <c:v>Otros combustiibles para uso marítimo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Evolución_Anual!$B$39:$M$39</c:f>
              <c:numCache>
                <c:formatCode>0.00</c:formatCode>
                <c:ptCount val="12"/>
                <c:pt idx="0" formatCode="#,##0">
                  <c:v>262.62299999999999</c:v>
                </c:pt>
                <c:pt idx="1">
                  <c:v>156.21599999999998</c:v>
                </c:pt>
                <c:pt idx="2">
                  <c:v>4.4409999999999998</c:v>
                </c:pt>
                <c:pt idx="3" formatCode="#,##0">
                  <c:v>5.1980000000000004</c:v>
                </c:pt>
                <c:pt idx="4" formatCode="#,##0">
                  <c:v>1.8049999999999997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7.0000000000000001E-3</c:v>
                </c:pt>
                <c:pt idx="10" formatCode="0">
                  <c:v>3.0000000000000001E-3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CE4-49AB-AA0A-3FB87776D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84912"/>
        <c:axId val="432188848"/>
      </c:lineChart>
      <c:valAx>
        <c:axId val="43218884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84912"/>
        <c:crosses val="autoZero"/>
        <c:crossBetween val="between"/>
      </c:valAx>
      <c:catAx>
        <c:axId val="432184912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8884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Otros Fuelóleos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Evolución_Anual!$A$40</c:f>
              <c:strCache>
                <c:ptCount val="1"/>
                <c:pt idx="0">
                  <c:v>Otros Fuelóleos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Evolución_Anual!$B$40:$M$40</c:f>
              <c:numCache>
                <c:formatCode>0.00</c:formatCode>
                <c:ptCount val="12"/>
                <c:pt idx="0" formatCode="#,##0">
                  <c:v>4925.3550000000005</c:v>
                </c:pt>
                <c:pt idx="1">
                  <c:v>4231.1399999999994</c:v>
                </c:pt>
                <c:pt idx="2">
                  <c:v>3943.2400000000002</c:v>
                </c:pt>
                <c:pt idx="3" formatCode="#,##0">
                  <c:v>5097.1839999999993</c:v>
                </c:pt>
                <c:pt idx="4" formatCode="#,##0">
                  <c:v>5491.2370000000001</c:v>
                </c:pt>
                <c:pt idx="5" formatCode="#,##0">
                  <c:v>5929.7330000000002</c:v>
                </c:pt>
                <c:pt idx="6" formatCode="#,##0">
                  <c:v>5032.235999999999</c:v>
                </c:pt>
                <c:pt idx="7" formatCode="#,##0">
                  <c:v>2367.299</c:v>
                </c:pt>
                <c:pt idx="8" formatCode="#,##0">
                  <c:v>2569.741</c:v>
                </c:pt>
                <c:pt idx="9" formatCode="#,##0">
                  <c:v>3641.92</c:v>
                </c:pt>
                <c:pt idx="10" formatCode="0">
                  <c:v>3941.1609999999996</c:v>
                </c:pt>
                <c:pt idx="11" formatCode="0">
                  <c:v>4651.4579999999996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01-4BFB-8C1B-46653B930D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2193112"/>
        <c:axId val="432191800"/>
      </c:areaChart>
      <c:valAx>
        <c:axId val="432191800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3112"/>
        <c:crosses val="autoZero"/>
        <c:crossBetween val="midCat"/>
      </c:valAx>
      <c:catAx>
        <c:axId val="4321931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180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Coque de petróleo (kt)</a:t>
            </a:r>
          </a:p>
        </c:rich>
      </c:tx>
      <c:layout>
        <c:manualLayout>
          <c:xMode val="edge"/>
          <c:yMode val="edge"/>
          <c:x val="0.19841674379174207"/>
          <c:y val="3.7563339942718661E-2"/>
        </c:manualLayout>
      </c:layout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Evolución_Anual!$A$45</c:f>
              <c:strCache>
                <c:ptCount val="1"/>
                <c:pt idx="0">
                  <c:v>Coque de petróleo</c:v>
                </c:pt>
              </c:strCache>
            </c:strRef>
          </c:tx>
          <c:spPr>
            <a:solidFill>
              <a:srgbClr val="5B9BD5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Evolución_Anual!$B$45:$M$45</c:f>
              <c:numCache>
                <c:formatCode>0.00</c:formatCode>
                <c:ptCount val="12"/>
                <c:pt idx="0" formatCode="#,##0">
                  <c:v>3436.2899999999995</c:v>
                </c:pt>
                <c:pt idx="1">
                  <c:v>3743.6349999999998</c:v>
                </c:pt>
                <c:pt idx="2">
                  <c:v>3659.797</c:v>
                </c:pt>
                <c:pt idx="3" formatCode="#,##0">
                  <c:v>3781.5</c:v>
                </c:pt>
                <c:pt idx="4" formatCode="#,##0">
                  <c:v>3823.3130000000001</c:v>
                </c:pt>
                <c:pt idx="5" formatCode="#,##0">
                  <c:v>3802.1469999999995</c:v>
                </c:pt>
                <c:pt idx="6" formatCode="#,##0">
                  <c:v>3602.9690000000001</c:v>
                </c:pt>
                <c:pt idx="7" formatCode="#,##0">
                  <c:v>3528.8910000000001</c:v>
                </c:pt>
                <c:pt idx="8" formatCode="#,##0">
                  <c:v>2887.1469999999995</c:v>
                </c:pt>
                <c:pt idx="9" formatCode="#,##0">
                  <c:v>3434.0340000000001</c:v>
                </c:pt>
                <c:pt idx="10" formatCode="0">
                  <c:v>3457.4449999999997</c:v>
                </c:pt>
                <c:pt idx="11" formatCode="0">
                  <c:v>3505.3779999999997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FA-4C9B-BC12-2E40024D7B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2200656"/>
        <c:axId val="432199016"/>
      </c:barChart>
      <c:valAx>
        <c:axId val="43219901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200656"/>
        <c:crosses val="autoZero"/>
        <c:crossBetween val="between"/>
      </c:valAx>
      <c:catAx>
        <c:axId val="432200656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90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otros procesados (kt)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Evolución_Anual!$A$41</c:f>
              <c:strCache>
                <c:ptCount val="1"/>
                <c:pt idx="0">
                  <c:v>Aceites y bases lubricantes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Evolución_Anual!$B$41:$M$41</c:f>
              <c:numCache>
                <c:formatCode>0.00</c:formatCode>
                <c:ptCount val="12"/>
                <c:pt idx="0" formatCode="#,##0">
                  <c:v>190.64699999999996</c:v>
                </c:pt>
                <c:pt idx="1">
                  <c:v>336.96300000000008</c:v>
                </c:pt>
                <c:pt idx="2">
                  <c:v>396.09100000000001</c:v>
                </c:pt>
                <c:pt idx="3" formatCode="#,##0">
                  <c:v>408.81400000000002</c:v>
                </c:pt>
                <c:pt idx="4" formatCode="#,##0">
                  <c:v>399.22699999999998</c:v>
                </c:pt>
                <c:pt idx="5" formatCode="#,##0">
                  <c:v>414.57400000000001</c:v>
                </c:pt>
                <c:pt idx="6" formatCode="#,##0">
                  <c:v>354.22500000000002</c:v>
                </c:pt>
                <c:pt idx="7" formatCode="#,##0">
                  <c:v>316.589</c:v>
                </c:pt>
                <c:pt idx="8" formatCode="#,##0">
                  <c:v>307.51099999999997</c:v>
                </c:pt>
                <c:pt idx="9" formatCode="#,##0">
                  <c:v>341.11200000000002</c:v>
                </c:pt>
                <c:pt idx="10" formatCode="0">
                  <c:v>310.36</c:v>
                </c:pt>
                <c:pt idx="11" formatCode="0">
                  <c:v>280.16399999999999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FC-4EF2-B9B0-1206F57FEED8}"/>
            </c:ext>
          </c:extLst>
        </c:ser>
        <c:ser>
          <c:idx val="1"/>
          <c:order val="1"/>
          <c:tx>
            <c:strRef>
              <c:f>Evolución_Anual!$A$42</c:f>
              <c:strCache>
                <c:ptCount val="1"/>
                <c:pt idx="0">
                  <c:v>Productos asfálticos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Evolución_Anual!$B$42:$M$42</c:f>
              <c:numCache>
                <c:formatCode>0.00</c:formatCode>
                <c:ptCount val="12"/>
                <c:pt idx="0" formatCode="#,##0">
                  <c:v>2073.8830000000003</c:v>
                </c:pt>
                <c:pt idx="1">
                  <c:v>1917.2549999999997</c:v>
                </c:pt>
                <c:pt idx="2">
                  <c:v>2491.1219999999998</c:v>
                </c:pt>
                <c:pt idx="3" formatCode="#,##0">
                  <c:v>2471.4650000000001</c:v>
                </c:pt>
                <c:pt idx="4" formatCode="#,##0">
                  <c:v>2482.5739999999996</c:v>
                </c:pt>
                <c:pt idx="5" formatCode="#,##0">
                  <c:v>2629.5830000000001</c:v>
                </c:pt>
                <c:pt idx="6" formatCode="#,##0">
                  <c:v>2372.59</c:v>
                </c:pt>
                <c:pt idx="7" formatCode="#,##0">
                  <c:v>1907.655</c:v>
                </c:pt>
                <c:pt idx="8" formatCode="#,##0">
                  <c:v>2191.232</c:v>
                </c:pt>
                <c:pt idx="9" formatCode="#,##0">
                  <c:v>1715.5740000000001</c:v>
                </c:pt>
                <c:pt idx="10" formatCode="0">
                  <c:v>1822.5049999999999</c:v>
                </c:pt>
                <c:pt idx="11" formatCode="0">
                  <c:v>1869.1460000000002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FC-4EF2-B9B0-1206F57FEED8}"/>
            </c:ext>
          </c:extLst>
        </c:ser>
        <c:ser>
          <c:idx val="2"/>
          <c:order val="2"/>
          <c:tx>
            <c:strRef>
              <c:f>Evolución_Anual!$A$43</c:f>
              <c:strCache>
                <c:ptCount val="1"/>
                <c:pt idx="0">
                  <c:v>Disolventes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Evolución_Anual!$B$43:$M$43</c:f>
              <c:numCache>
                <c:formatCode>0.00</c:formatCode>
                <c:ptCount val="12"/>
                <c:pt idx="0" formatCode="#,##0">
                  <c:v>180.18800000000002</c:v>
                </c:pt>
                <c:pt idx="1">
                  <c:v>203.84299999999999</c:v>
                </c:pt>
                <c:pt idx="2">
                  <c:v>257.37900000000002</c:v>
                </c:pt>
                <c:pt idx="3" formatCode="#,##0">
                  <c:v>265.14699999999999</c:v>
                </c:pt>
                <c:pt idx="4" formatCode="#,##0">
                  <c:v>255.05499999999998</c:v>
                </c:pt>
                <c:pt idx="5" formatCode="#,##0">
                  <c:v>243.16300000000001</c:v>
                </c:pt>
                <c:pt idx="6" formatCode="#,##0">
                  <c:v>201.55599999999998</c:v>
                </c:pt>
                <c:pt idx="7" formatCode="#,##0">
                  <c:v>129.38900000000001</c:v>
                </c:pt>
                <c:pt idx="8" formatCode="#,##0">
                  <c:v>143.95799999999997</c:v>
                </c:pt>
                <c:pt idx="9" formatCode="#,##0">
                  <c:v>120.07800000000002</c:v>
                </c:pt>
                <c:pt idx="10" formatCode="0">
                  <c:v>122.27900000000001</c:v>
                </c:pt>
                <c:pt idx="11" formatCode="0">
                  <c:v>111.245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FC-4EF2-B9B0-1206F57FEED8}"/>
            </c:ext>
          </c:extLst>
        </c:ser>
        <c:ser>
          <c:idx val="3"/>
          <c:order val="3"/>
          <c:tx>
            <c:strRef>
              <c:f>Evolución_Anual!$A$44</c:f>
              <c:strCache>
                <c:ptCount val="1"/>
                <c:pt idx="0">
                  <c:v>Parafinas</c:v>
                </c:pt>
              </c:strCache>
            </c:strRef>
          </c:tx>
          <c:spPr>
            <a:ln w="28575" cap="rnd">
              <a:solidFill>
                <a:srgbClr val="FFC000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Evolución_Anual!$B$44:$M$44</c:f>
              <c:numCache>
                <c:formatCode>0.00</c:formatCode>
                <c:ptCount val="12"/>
                <c:pt idx="0" formatCode="#,##0">
                  <c:v>36.271000000000001</c:v>
                </c:pt>
                <c:pt idx="1">
                  <c:v>55.038999999999994</c:v>
                </c:pt>
                <c:pt idx="2">
                  <c:v>84.269000000000005</c:v>
                </c:pt>
                <c:pt idx="3" formatCode="#,##0">
                  <c:v>94.957999999999984</c:v>
                </c:pt>
                <c:pt idx="4" formatCode="#,##0">
                  <c:v>88.320999999999984</c:v>
                </c:pt>
                <c:pt idx="5" formatCode="#,##0">
                  <c:v>89.766000000000005</c:v>
                </c:pt>
                <c:pt idx="6" formatCode="#,##0">
                  <c:v>77.551000000000002</c:v>
                </c:pt>
                <c:pt idx="7" formatCode="#,##0">
                  <c:v>72.461000000000013</c:v>
                </c:pt>
                <c:pt idx="8" formatCode="#,##0">
                  <c:v>76.009999999999991</c:v>
                </c:pt>
                <c:pt idx="9" formatCode="#,##0">
                  <c:v>78.824000000000012</c:v>
                </c:pt>
                <c:pt idx="10" formatCode="0">
                  <c:v>68.566999999999993</c:v>
                </c:pt>
                <c:pt idx="11" formatCode="0">
                  <c:v>69.851000000000013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FC-4EF2-B9B0-1206F57FEED8}"/>
            </c:ext>
          </c:extLst>
        </c:ser>
        <c:ser>
          <c:idx val="4"/>
          <c:order val="4"/>
          <c:tx>
            <c:strRef>
              <c:f>Evolución_Anual!$A$46</c:f>
              <c:strCache>
                <c:ptCount val="1"/>
                <c:pt idx="0">
                  <c:v>Otros Productos</c:v>
                </c:pt>
              </c:strCache>
            </c:strRef>
          </c:tx>
          <c:spPr>
            <a:ln w="28575" cap="rnd">
              <a:solidFill>
                <a:srgbClr val="4472C4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Evolución_Anual!$B$46:$M$46</c:f>
              <c:numCache>
                <c:formatCode>0.00</c:formatCode>
                <c:ptCount val="12"/>
                <c:pt idx="0" formatCode="0">
                  <c:v>2470.631000000004</c:v>
                </c:pt>
                <c:pt idx="1">
                  <c:v>2455.3649999999948</c:v>
                </c:pt>
                <c:pt idx="2">
                  <c:v>2706.9480000000008</c:v>
                </c:pt>
                <c:pt idx="3" formatCode="#,##0">
                  <c:v>2574.7999999999961</c:v>
                </c:pt>
                <c:pt idx="4" formatCode="#,##0">
                  <c:v>2339.5239999999981</c:v>
                </c:pt>
                <c:pt idx="5" formatCode="#,##0">
                  <c:v>2320.1039999999994</c:v>
                </c:pt>
                <c:pt idx="6" formatCode="#,##0">
                  <c:v>2474.2789999999995</c:v>
                </c:pt>
                <c:pt idx="7" formatCode="#,##0">
                  <c:v>3081.5889999999995</c:v>
                </c:pt>
                <c:pt idx="8" formatCode="#,##0">
                  <c:v>2621.3369999999973</c:v>
                </c:pt>
                <c:pt idx="9" formatCode="#,##0">
                  <c:v>1662.1669999999949</c:v>
                </c:pt>
                <c:pt idx="10" formatCode="0">
                  <c:v>1605.8290000000018</c:v>
                </c:pt>
                <c:pt idx="11" formatCode="0">
                  <c:v>2453.1839999999979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DFC-4EF2-B9B0-1206F57FEE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00000"/>
        <c:axId val="432194096"/>
      </c:lineChart>
      <c:valAx>
        <c:axId val="43219409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200000"/>
        <c:crosses val="autoZero"/>
        <c:crossBetween val="between"/>
      </c:valAx>
      <c:catAx>
        <c:axId val="4322000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409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Gasolinas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Evolución_Anual!$A$17</c:f>
              <c:strCache>
                <c:ptCount val="1"/>
                <c:pt idx="0">
                  <c:v>Nafta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Evolución_Anual!$B$17:$M$17</c:f>
              <c:numCache>
                <c:formatCode>0.00</c:formatCode>
                <c:ptCount val="12"/>
                <c:pt idx="0" formatCode="#,##0">
                  <c:v>345.08400000000006</c:v>
                </c:pt>
                <c:pt idx="1">
                  <c:v>303.50700000000001</c:v>
                </c:pt>
                <c:pt idx="2">
                  <c:v>1240</c:v>
                </c:pt>
                <c:pt idx="3" formatCode="#,##0">
                  <c:v>1194</c:v>
                </c:pt>
                <c:pt idx="4" formatCode="#,##0">
                  <c:v>1368</c:v>
                </c:pt>
                <c:pt idx="5" formatCode="#,##0">
                  <c:v>1756</c:v>
                </c:pt>
                <c:pt idx="6" formatCode="#,##0">
                  <c:v>1438</c:v>
                </c:pt>
                <c:pt idx="7" formatCode="#,##0">
                  <c:v>1309</c:v>
                </c:pt>
                <c:pt idx="8" formatCode="#,##0">
                  <c:v>1443.748</c:v>
                </c:pt>
                <c:pt idx="9" formatCode="#,##0">
                  <c:v>1678.6889999999999</c:v>
                </c:pt>
                <c:pt idx="10" formatCode="0">
                  <c:v>1641.7580000000003</c:v>
                </c:pt>
                <c:pt idx="11" formatCode="0">
                  <c:v>1735.9580000000001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7E-470E-BEC1-E18F44285752}"/>
            </c:ext>
          </c:extLst>
        </c:ser>
        <c:ser>
          <c:idx val="1"/>
          <c:order val="1"/>
          <c:tx>
            <c:strRef>
              <c:f>Evolución_Anual!$A$18</c:f>
              <c:strCache>
                <c:ptCount val="1"/>
                <c:pt idx="0">
                  <c:v>Gasolina 97 I.O.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Evolución_Anual!$B$18:$M$18</c:f>
              <c:numCache>
                <c:formatCode>0.00</c:formatCode>
                <c:ptCount val="12"/>
                <c:pt idx="0" formatCode="#,##0">
                  <c:v>0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7E-470E-BEC1-E18F44285752}"/>
            </c:ext>
          </c:extLst>
        </c:ser>
        <c:ser>
          <c:idx val="2"/>
          <c:order val="2"/>
          <c:tx>
            <c:strRef>
              <c:f>Evolución_Anual!$A$19</c:f>
              <c:strCache>
                <c:ptCount val="1"/>
                <c:pt idx="0">
                  <c:v>Gasolina 95 I.O.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Evolución_Anual!$B$19:$M$19</c:f>
              <c:numCache>
                <c:formatCode>0.00</c:formatCode>
                <c:ptCount val="12"/>
                <c:pt idx="0" formatCode="#,##0">
                  <c:v>1287.2289999999998</c:v>
                </c:pt>
                <c:pt idx="1">
                  <c:v>1309.3149999999998</c:v>
                </c:pt>
                <c:pt idx="2">
                  <c:v>1093.296</c:v>
                </c:pt>
                <c:pt idx="3" formatCode="#,##0">
                  <c:v>1019.001</c:v>
                </c:pt>
                <c:pt idx="4" formatCode="#,##0">
                  <c:v>878.40499999999986</c:v>
                </c:pt>
                <c:pt idx="5" formatCode="#,##0">
                  <c:v>1195.105</c:v>
                </c:pt>
                <c:pt idx="6" formatCode="#,##0">
                  <c:v>1095.317</c:v>
                </c:pt>
                <c:pt idx="7" formatCode="#,##0">
                  <c:v>1053.1750000000002</c:v>
                </c:pt>
                <c:pt idx="8" formatCode="#,##0">
                  <c:v>1186.8810000000001</c:v>
                </c:pt>
                <c:pt idx="9" formatCode="#,##0">
                  <c:v>1211.8000000000002</c:v>
                </c:pt>
                <c:pt idx="10" formatCode="0">
                  <c:v>945.81700000000001</c:v>
                </c:pt>
                <c:pt idx="11" formatCode="0">
                  <c:v>1138.0340000000001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47E-470E-BEC1-E18F44285752}"/>
            </c:ext>
          </c:extLst>
        </c:ser>
        <c:ser>
          <c:idx val="3"/>
          <c:order val="3"/>
          <c:tx>
            <c:strRef>
              <c:f>Evolución_Anual!$A$20</c:f>
              <c:strCache>
                <c:ptCount val="1"/>
                <c:pt idx="0">
                  <c:v>Gasolina 98 I.O.</c:v>
                </c:pt>
              </c:strCache>
            </c:strRef>
          </c:tx>
          <c:spPr>
            <a:ln w="28575" cap="rnd">
              <a:solidFill>
                <a:srgbClr val="FFC000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Evolución_Anual!$B$20:$M$20</c:f>
              <c:numCache>
                <c:formatCode>0.00</c:formatCode>
                <c:ptCount val="12"/>
                <c:pt idx="0" formatCode="#,##0">
                  <c:v>59.605999999999995</c:v>
                </c:pt>
                <c:pt idx="1">
                  <c:v>75.36699999999999</c:v>
                </c:pt>
                <c:pt idx="2">
                  <c:v>50.234000000000002</c:v>
                </c:pt>
                <c:pt idx="3" formatCode="#,##0">
                  <c:v>60.134</c:v>
                </c:pt>
                <c:pt idx="4" formatCode="#,##0">
                  <c:v>71.317000000000007</c:v>
                </c:pt>
                <c:pt idx="5" formatCode="#,##0">
                  <c:v>61.750000000000007</c:v>
                </c:pt>
                <c:pt idx="6" formatCode="#,##0">
                  <c:v>77.353999999999999</c:v>
                </c:pt>
                <c:pt idx="7" formatCode="#,##0">
                  <c:v>58.756999999999998</c:v>
                </c:pt>
                <c:pt idx="8" formatCode="#,##0">
                  <c:v>55.305999999999997</c:v>
                </c:pt>
                <c:pt idx="9" formatCode="#,##0">
                  <c:v>66.042999999999992</c:v>
                </c:pt>
                <c:pt idx="10" formatCode="0">
                  <c:v>97.459000000000003</c:v>
                </c:pt>
                <c:pt idx="11" formatCode="0">
                  <c:v>95.51900000000002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47E-470E-BEC1-E18F44285752}"/>
            </c:ext>
          </c:extLst>
        </c:ser>
        <c:ser>
          <c:idx val="4"/>
          <c:order val="4"/>
          <c:tx>
            <c:strRef>
              <c:f>Evolución_Anual!$A$21</c:f>
              <c:strCache>
                <c:ptCount val="1"/>
                <c:pt idx="0">
                  <c:v>Gasolina de Aviación</c:v>
                </c:pt>
              </c:strCache>
            </c:strRef>
          </c:tx>
          <c:spPr>
            <a:ln w="28575" cap="rnd">
              <a:solidFill>
                <a:srgbClr val="4472C4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Evolución_Anual!$B$21:$M$21</c:f>
              <c:numCache>
                <c:formatCode>0.00</c:formatCode>
                <c:ptCount val="12"/>
                <c:pt idx="0" formatCode="#,##0">
                  <c:v>0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47E-470E-BEC1-E18F442857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699136"/>
        <c:axId val="431697168"/>
      </c:lineChart>
      <c:valAx>
        <c:axId val="43169716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9136"/>
        <c:crosses val="autoZero"/>
        <c:crossBetween val="between"/>
      </c:valAx>
      <c:catAx>
        <c:axId val="431699136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716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PROCESADO DE CRUDO (kt)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Evolución_Anual!$A$9</c:f>
              <c:strCache>
                <c:ptCount val="1"/>
                <c:pt idx="0">
                  <c:v>TOTAL PROCESADO</c:v>
                </c:pt>
              </c:strCache>
            </c:strRef>
          </c:tx>
          <c:spPr>
            <a:solidFill>
              <a:srgbClr val="5B9BD5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Evolución_Anual!$B$9:$M$9</c:f>
              <c:numCache>
                <c:formatCode>0.00</c:formatCode>
                <c:ptCount val="12"/>
                <c:pt idx="0" formatCode="#,##0">
                  <c:v>61039.340000000004</c:v>
                </c:pt>
                <c:pt idx="1">
                  <c:v>61169.411</c:v>
                </c:pt>
                <c:pt idx="2">
                  <c:v>65663.244000000006</c:v>
                </c:pt>
                <c:pt idx="3" formatCode="#,##0">
                  <c:v>65695.89499999999</c:v>
                </c:pt>
                <c:pt idx="4" formatCode="#,##0">
                  <c:v>66825</c:v>
                </c:pt>
                <c:pt idx="5" formatCode="#,##0">
                  <c:v>68718</c:v>
                </c:pt>
                <c:pt idx="6" formatCode="#,##0">
                  <c:v>66555.244999999995</c:v>
                </c:pt>
                <c:pt idx="7" formatCode="#,##0">
                  <c:v>56614.535999999993</c:v>
                </c:pt>
                <c:pt idx="8" formatCode="#,##0">
                  <c:v>59047.308000000005</c:v>
                </c:pt>
                <c:pt idx="9" formatCode="#,##0">
                  <c:v>63792.228999999999</c:v>
                </c:pt>
                <c:pt idx="10" formatCode="0">
                  <c:v>62465.011999999995</c:v>
                </c:pt>
                <c:pt idx="11" formatCode="0">
                  <c:v>65014.254000000001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00-4A61-88C4-708F22ED3955}"/>
            </c:ext>
          </c:extLst>
        </c:ser>
        <c:ser>
          <c:idx val="1"/>
          <c:order val="1"/>
          <c:tx>
            <c:strRef>
              <c:f>Evolución_Anual!$A$10</c:f>
              <c:strCache>
                <c:ptCount val="1"/>
                <c:pt idx="0">
                  <c:v>PROCESADO DE CRUDO</c:v>
                </c:pt>
              </c:strCache>
            </c:strRef>
          </c:tx>
          <c:spPr>
            <a:solidFill>
              <a:srgbClr val="ED7D31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Evolución_Anual!$B$10:$M$10</c:f>
              <c:numCache>
                <c:formatCode>0.00</c:formatCode>
                <c:ptCount val="12"/>
                <c:pt idx="0" formatCode="#,##0">
                  <c:v>58143</c:v>
                </c:pt>
                <c:pt idx="1">
                  <c:v>59022</c:v>
                </c:pt>
                <c:pt idx="2">
                  <c:v>65031</c:v>
                </c:pt>
                <c:pt idx="3" formatCode="#,##0">
                  <c:v>64988</c:v>
                </c:pt>
                <c:pt idx="4" formatCode="#,##0">
                  <c:v>66038</c:v>
                </c:pt>
                <c:pt idx="5" formatCode="#,##0">
                  <c:v>67894</c:v>
                </c:pt>
                <c:pt idx="6" formatCode="#,##0">
                  <c:v>65648</c:v>
                </c:pt>
                <c:pt idx="7" formatCode="#,##0">
                  <c:v>55153</c:v>
                </c:pt>
                <c:pt idx="8" formatCode="#,##0">
                  <c:v>56922.123999999996</c:v>
                </c:pt>
                <c:pt idx="9" formatCode="#,##0">
                  <c:v>63393.94999999999</c:v>
                </c:pt>
                <c:pt idx="10" formatCode="0">
                  <c:v>61885.819000000003</c:v>
                </c:pt>
                <c:pt idx="11" formatCode="0">
                  <c:v>64336.436999999991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00-4A61-88C4-708F22ED3955}"/>
            </c:ext>
          </c:extLst>
        </c:ser>
        <c:ser>
          <c:idx val="2"/>
          <c:order val="2"/>
          <c:tx>
            <c:strRef>
              <c:f>Evolución_Anual!$A$11</c:f>
              <c:strCache>
                <c:ptCount val="1"/>
                <c:pt idx="0">
                  <c:v>PERDIDAS DE REFINO</c:v>
                </c:pt>
              </c:strCache>
            </c:strRef>
          </c:tx>
          <c:spPr>
            <a:solidFill>
              <a:srgbClr val="A5A5A5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Evolución_Anual!$B$11:$M$11</c:f>
              <c:numCache>
                <c:formatCode>0.00</c:formatCode>
                <c:ptCount val="12"/>
                <c:pt idx="0" formatCode="#,##0">
                  <c:v>537.55000000000018</c:v>
                </c:pt>
                <c:pt idx="1">
                  <c:v>606.80799999999999</c:v>
                </c:pt>
                <c:pt idx="2">
                  <c:v>678.15200000000277</c:v>
                </c:pt>
                <c:pt idx="3" formatCode="#,##0">
                  <c:v>740.9360000000006</c:v>
                </c:pt>
                <c:pt idx="4" formatCode="#,##0">
                  <c:v>927.83299999999781</c:v>
                </c:pt>
                <c:pt idx="5" formatCode="#,##0">
                  <c:v>848.35799999999654</c:v>
                </c:pt>
                <c:pt idx="6" formatCode="#,##0">
                  <c:v>1042.3570000000036</c:v>
                </c:pt>
                <c:pt idx="7" formatCode="#,##0">
                  <c:v>807.31799999999839</c:v>
                </c:pt>
                <c:pt idx="8" formatCode="#,##0">
                  <c:v>870.51200000000154</c:v>
                </c:pt>
                <c:pt idx="9" formatCode="#,##0">
                  <c:v>1664.4920000000029</c:v>
                </c:pt>
                <c:pt idx="10" formatCode="0">
                  <c:v>991.699999999998</c:v>
                </c:pt>
                <c:pt idx="11" formatCode="0">
                  <c:v>1487.2070000000012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F00-4A61-88C4-708F22ED39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1700448"/>
        <c:axId val="431320504"/>
      </c:barChart>
      <c:valAx>
        <c:axId val="43132050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700448"/>
        <c:crosses val="autoZero"/>
        <c:crossBetween val="between"/>
      </c:valAx>
      <c:catAx>
        <c:axId val="43170044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32050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DE REFINERÍA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ndard"/>
        <c:varyColors val="0"/>
        <c:ser>
          <c:idx val="0"/>
          <c:order val="0"/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Evolución_Anual!$B$12:$M$12</c:f>
              <c:numCache>
                <c:formatCode>0.00</c:formatCode>
                <c:ptCount val="12"/>
                <c:pt idx="0" formatCode="#,##0">
                  <c:v>60501.79</c:v>
                </c:pt>
                <c:pt idx="1">
                  <c:v>60562.602999999988</c:v>
                </c:pt>
                <c:pt idx="2">
                  <c:v>64983.195999999996</c:v>
                </c:pt>
                <c:pt idx="3" formatCode="#,##0">
                  <c:v>64955.064000000006</c:v>
                </c:pt>
                <c:pt idx="4" formatCode="#,##0">
                  <c:v>65897.167000000001</c:v>
                </c:pt>
                <c:pt idx="5" formatCode="#,##0">
                  <c:v>67869.641999999993</c:v>
                </c:pt>
                <c:pt idx="6" formatCode="#,##0">
                  <c:v>65512.642999999996</c:v>
                </c:pt>
                <c:pt idx="7" formatCode="#,##0">
                  <c:v>55806.682000000001</c:v>
                </c:pt>
                <c:pt idx="8" formatCode="#,##0">
                  <c:v>58176.796000000002</c:v>
                </c:pt>
                <c:pt idx="9" formatCode="#,##0">
                  <c:v>62127.737000000001</c:v>
                </c:pt>
                <c:pt idx="10" formatCode="0">
                  <c:v>61473.311999999991</c:v>
                </c:pt>
                <c:pt idx="11" formatCode="0">
                  <c:v>63527.047000000013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28-42CB-9F11-9258EF79EA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694872"/>
        <c:axId val="431696840"/>
      </c:areaChart>
      <c:valAx>
        <c:axId val="431696840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694872"/>
        <c:crosses val="autoZero"/>
        <c:crossBetween val="midCat"/>
      </c:valAx>
      <c:catAx>
        <c:axId val="431694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6968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13" Type="http://schemas.openxmlformats.org/officeDocument/2006/relationships/chart" Target="../charts/chart30.xml"/><Relationship Id="rId3" Type="http://schemas.openxmlformats.org/officeDocument/2006/relationships/chart" Target="../charts/chart20.xml"/><Relationship Id="rId7" Type="http://schemas.openxmlformats.org/officeDocument/2006/relationships/chart" Target="../charts/chart24.xml"/><Relationship Id="rId12" Type="http://schemas.openxmlformats.org/officeDocument/2006/relationships/chart" Target="../charts/chart29.xml"/><Relationship Id="rId17" Type="http://schemas.openxmlformats.org/officeDocument/2006/relationships/chart" Target="../charts/chart34.xml"/><Relationship Id="rId2" Type="http://schemas.openxmlformats.org/officeDocument/2006/relationships/chart" Target="../charts/chart19.xml"/><Relationship Id="rId16" Type="http://schemas.openxmlformats.org/officeDocument/2006/relationships/chart" Target="../charts/chart33.xml"/><Relationship Id="rId1" Type="http://schemas.openxmlformats.org/officeDocument/2006/relationships/chart" Target="../charts/chart18.xml"/><Relationship Id="rId6" Type="http://schemas.openxmlformats.org/officeDocument/2006/relationships/chart" Target="../charts/chart23.xml"/><Relationship Id="rId11" Type="http://schemas.openxmlformats.org/officeDocument/2006/relationships/chart" Target="../charts/chart28.xml"/><Relationship Id="rId5" Type="http://schemas.openxmlformats.org/officeDocument/2006/relationships/chart" Target="../charts/chart22.xml"/><Relationship Id="rId15" Type="http://schemas.openxmlformats.org/officeDocument/2006/relationships/chart" Target="../charts/chart32.xml"/><Relationship Id="rId10" Type="http://schemas.openxmlformats.org/officeDocument/2006/relationships/chart" Target="../charts/chart27.xml"/><Relationship Id="rId4" Type="http://schemas.openxmlformats.org/officeDocument/2006/relationships/chart" Target="../charts/chart21.xml"/><Relationship Id="rId9" Type="http://schemas.openxmlformats.org/officeDocument/2006/relationships/chart" Target="../charts/chart26.xml"/><Relationship Id="rId14" Type="http://schemas.openxmlformats.org/officeDocument/2006/relationships/chart" Target="../charts/chart3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13" Type="http://schemas.openxmlformats.org/officeDocument/2006/relationships/chart" Target="../charts/chart47.xml"/><Relationship Id="rId3" Type="http://schemas.openxmlformats.org/officeDocument/2006/relationships/chart" Target="../charts/chart37.xml"/><Relationship Id="rId7" Type="http://schemas.openxmlformats.org/officeDocument/2006/relationships/chart" Target="../charts/chart41.xml"/><Relationship Id="rId12" Type="http://schemas.openxmlformats.org/officeDocument/2006/relationships/chart" Target="../charts/chart46.xml"/><Relationship Id="rId2" Type="http://schemas.openxmlformats.org/officeDocument/2006/relationships/chart" Target="../charts/chart36.xml"/><Relationship Id="rId16" Type="http://schemas.openxmlformats.org/officeDocument/2006/relationships/chart" Target="../charts/chart50.xml"/><Relationship Id="rId1" Type="http://schemas.openxmlformats.org/officeDocument/2006/relationships/chart" Target="../charts/chart35.xml"/><Relationship Id="rId6" Type="http://schemas.openxmlformats.org/officeDocument/2006/relationships/chart" Target="../charts/chart40.xml"/><Relationship Id="rId11" Type="http://schemas.openxmlformats.org/officeDocument/2006/relationships/chart" Target="../charts/chart45.xml"/><Relationship Id="rId5" Type="http://schemas.openxmlformats.org/officeDocument/2006/relationships/chart" Target="../charts/chart39.xml"/><Relationship Id="rId15" Type="http://schemas.openxmlformats.org/officeDocument/2006/relationships/chart" Target="../charts/chart49.xml"/><Relationship Id="rId10" Type="http://schemas.openxmlformats.org/officeDocument/2006/relationships/chart" Target="../charts/chart44.xml"/><Relationship Id="rId4" Type="http://schemas.openxmlformats.org/officeDocument/2006/relationships/chart" Target="../charts/chart38.xml"/><Relationship Id="rId9" Type="http://schemas.openxmlformats.org/officeDocument/2006/relationships/chart" Target="../charts/chart43.xml"/><Relationship Id="rId14" Type="http://schemas.openxmlformats.org/officeDocument/2006/relationships/chart" Target="../charts/chart48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1</xdr:row>
      <xdr:rowOff>47621</xdr:rowOff>
    </xdr:from>
    <xdr:ext cx="3686175" cy="847721"/>
    <xdr:sp macro="" textlink="">
      <xdr:nvSpPr>
        <xdr:cNvPr id="2" name="Imagen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7150" y="228596"/>
          <a:ext cx="3686175" cy="847721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4</xdr:col>
      <xdr:colOff>600075</xdr:colOff>
      <xdr:row>0</xdr:row>
      <xdr:rowOff>104771</xdr:rowOff>
    </xdr:from>
    <xdr:ext cx="2447921" cy="1323978"/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648075" y="104771"/>
          <a:ext cx="2447921" cy="1323978"/>
        </a:xfrm>
        <a:prstGeom prst="rect">
          <a:avLst/>
        </a:prstGeom>
        <a:solidFill>
          <a:srgbClr val="FFFFFF"/>
        </a:solidFill>
        <a:ln cap="flat">
          <a:noFill/>
        </a:ln>
      </xdr:spPr>
      <xdr:txBody>
        <a:bodyPr vert="horz" wrap="square" lIns="91440" tIns="45720" rIns="91440" bIns="45720" anchor="t" anchorCtr="0" compatLnSpc="0">
          <a:noAutofit/>
        </a:bodyPr>
        <a:lstStyle/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none" spc="0" baseline="0">
              <a:solidFill>
                <a:srgbClr val="000000"/>
              </a:solidFill>
              <a:uFillTx/>
              <a:latin typeface="Gill Sans MT"/>
            </a:rPr>
            <a:t>SECRETARÍA DE ESTADO DE ENERGÍA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Gill Sans MT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all" spc="0" baseline="0">
              <a:solidFill>
                <a:srgbClr val="000000"/>
              </a:solidFill>
              <a:uFillTx/>
              <a:latin typeface="Calibri"/>
              <a:ea typeface="+mn-ea"/>
              <a:cs typeface="+mn-cs"/>
            </a:rPr>
            <a:t>DIRECCIÓN GENERAL DE PLANIFICACIÓN Y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all" spc="0" baseline="0">
              <a:solidFill>
                <a:srgbClr val="000000"/>
              </a:solidFill>
              <a:uFillTx/>
              <a:latin typeface="Calibri"/>
              <a:ea typeface="+mn-ea"/>
              <a:cs typeface="+mn-cs"/>
            </a:rPr>
            <a:t>COORDINACIÓN ENERGÉTICA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all" spc="0" baseline="0">
            <a:solidFill>
              <a:srgbClr val="000000"/>
            </a:solidFill>
            <a:uFillTx/>
            <a:latin typeface="Calibri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all" spc="0" baseline="0">
              <a:solidFill>
                <a:srgbClr val="000000"/>
              </a:solidFill>
              <a:uFillTx/>
              <a:latin typeface="Calibri"/>
            </a:rPr>
            <a:t>SUBDIRECCIÓN GENERAL de Prospectiva y estadísticas energéticas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none" spc="0" baseline="0">
              <a:solidFill>
                <a:srgbClr val="000000"/>
              </a:solidFill>
              <a:uFillTx/>
              <a:latin typeface="Calibri"/>
            </a:rPr>
            <a:t>ISSN EN LINEA: 2603-6169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none" spc="0" baseline="0">
              <a:solidFill>
                <a:srgbClr val="000000"/>
              </a:solidFill>
              <a:uFillTx/>
              <a:latin typeface="Calibri"/>
            </a:rPr>
            <a:t>NIPO EN LINEA: 665-20-087-3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  <a:p>
          <a:pPr marL="0" marR="0" lvl="0" indent="0" algn="l" defTabSz="914400" rtl="0" fontAlgn="auto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Gill Sans MT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50" b="0" i="0" u="none" strike="noStrike" kern="0" cap="none" spc="0" baseline="0">
            <a:solidFill>
              <a:srgbClr val="000000"/>
            </a:solidFill>
            <a:uFillTx/>
            <a:latin typeface="Gill Sans MT"/>
          </a:endParaRPr>
        </a:p>
      </xdr:txBody>
    </xdr:sp>
    <xdr:clientData/>
  </xdr:oneCellAnchor>
  <xdr:twoCellAnchor editAs="oneCell">
    <xdr:from>
      <xdr:col>0</xdr:col>
      <xdr:colOff>226219</xdr:colOff>
      <xdr:row>0</xdr:row>
      <xdr:rowOff>130969</xdr:rowOff>
    </xdr:from>
    <xdr:to>
      <xdr:col>4</xdr:col>
      <xdr:colOff>447199</xdr:colOff>
      <xdr:row>5</xdr:row>
      <xdr:rowOff>71120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9DB580F-94E9-47C3-B53B-D92CD0398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219" y="130969"/>
          <a:ext cx="3268980" cy="8331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17318</xdr:colOff>
      <xdr:row>4</xdr:row>
      <xdr:rowOff>17322</xdr:rowOff>
    </xdr:from>
    <xdr:ext cx="4706215" cy="2615906"/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5C362803-F016-4F1F-9474-CD640EF007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32</xdr:col>
      <xdr:colOff>452747</xdr:colOff>
      <xdr:row>4</xdr:row>
      <xdr:rowOff>13535</xdr:rowOff>
    </xdr:from>
    <xdr:ext cx="4621553" cy="2623778"/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D6034003-95A7-44EF-90B1-C2D9C89005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27</xdr:col>
      <xdr:colOff>30981</xdr:colOff>
      <xdr:row>14</xdr:row>
      <xdr:rowOff>191221</xdr:rowOff>
    </xdr:from>
    <xdr:ext cx="4699181" cy="3030311"/>
    <xdr:graphicFrame macro="">
      <xdr:nvGraphicFramePr>
        <xdr:cNvPr id="4" name="Gráfico 7">
          <a:extLst>
            <a:ext uri="{FF2B5EF4-FFF2-40B4-BE49-F238E27FC236}">
              <a16:creationId xmlns:a16="http://schemas.microsoft.com/office/drawing/2014/main" id="{8918E05B-0331-4E03-B740-666D897B0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32</xdr:col>
      <xdr:colOff>460242</xdr:colOff>
      <xdr:row>14</xdr:row>
      <xdr:rowOff>195299</xdr:rowOff>
    </xdr:from>
    <xdr:ext cx="4637314" cy="3030315"/>
    <xdr:graphicFrame macro="">
      <xdr:nvGraphicFramePr>
        <xdr:cNvPr id="5" name="Gráfico 8">
          <a:extLst>
            <a:ext uri="{FF2B5EF4-FFF2-40B4-BE49-F238E27FC236}">
              <a16:creationId xmlns:a16="http://schemas.microsoft.com/office/drawing/2014/main" id="{4E073480-E071-4CC7-A19A-FBDFC794FA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32</xdr:col>
      <xdr:colOff>408213</xdr:colOff>
      <xdr:row>29</xdr:row>
      <xdr:rowOff>220435</xdr:rowOff>
    </xdr:from>
    <xdr:ext cx="4626430" cy="2894239"/>
    <xdr:graphicFrame macro="">
      <xdr:nvGraphicFramePr>
        <xdr:cNvPr id="6" name="Gráfico 13">
          <a:extLst>
            <a:ext uri="{FF2B5EF4-FFF2-40B4-BE49-F238E27FC236}">
              <a16:creationId xmlns:a16="http://schemas.microsoft.com/office/drawing/2014/main" id="{5287E04B-B03B-4142-9FBE-FF306E421B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  <xdr:oneCellAnchor>
    <xdr:from>
      <xdr:col>37</xdr:col>
      <xdr:colOff>787049</xdr:colOff>
      <xdr:row>29</xdr:row>
      <xdr:rowOff>226942</xdr:rowOff>
    </xdr:from>
    <xdr:ext cx="4233986" cy="2897257"/>
    <xdr:graphicFrame macro="">
      <xdr:nvGraphicFramePr>
        <xdr:cNvPr id="7" name="Gráfico 15">
          <a:extLst>
            <a:ext uri="{FF2B5EF4-FFF2-40B4-BE49-F238E27FC236}">
              <a16:creationId xmlns:a16="http://schemas.microsoft.com/office/drawing/2014/main" id="{8982ED69-E3E3-46F7-B990-39CD639963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oneCellAnchor>
  <xdr:oneCellAnchor>
    <xdr:from>
      <xdr:col>27</xdr:col>
      <xdr:colOff>7258</xdr:colOff>
      <xdr:row>44</xdr:row>
      <xdr:rowOff>90014</xdr:rowOff>
    </xdr:from>
    <xdr:ext cx="4669517" cy="2662504"/>
    <xdr:graphicFrame macro="">
      <xdr:nvGraphicFramePr>
        <xdr:cNvPr id="8" name="Gráfico 16">
          <a:extLst>
            <a:ext uri="{FF2B5EF4-FFF2-40B4-BE49-F238E27FC236}">
              <a16:creationId xmlns:a16="http://schemas.microsoft.com/office/drawing/2014/main" id="{1BF0CEBB-37D6-497A-88C1-6028D6E71A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oneCellAnchor>
  <xdr:oneCellAnchor>
    <xdr:from>
      <xdr:col>32</xdr:col>
      <xdr:colOff>421822</xdr:colOff>
      <xdr:row>44</xdr:row>
      <xdr:rowOff>92994</xdr:rowOff>
    </xdr:from>
    <xdr:ext cx="4626427" cy="2656599"/>
    <xdr:graphicFrame macro="">
      <xdr:nvGraphicFramePr>
        <xdr:cNvPr id="9" name="Gráfico 17">
          <a:extLst>
            <a:ext uri="{FF2B5EF4-FFF2-40B4-BE49-F238E27FC236}">
              <a16:creationId xmlns:a16="http://schemas.microsoft.com/office/drawing/2014/main" id="{D96D8991-47E7-4555-A1BD-2F2A1C911F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oneCellAnchor>
  <xdr:oneCellAnchor>
    <xdr:from>
      <xdr:col>37</xdr:col>
      <xdr:colOff>789333</xdr:colOff>
      <xdr:row>44</xdr:row>
      <xdr:rowOff>104481</xdr:rowOff>
    </xdr:from>
    <xdr:ext cx="4238211" cy="2656940"/>
    <xdr:graphicFrame macro="">
      <xdr:nvGraphicFramePr>
        <xdr:cNvPr id="10" name="Gráfico 18">
          <a:extLst>
            <a:ext uri="{FF2B5EF4-FFF2-40B4-BE49-F238E27FC236}">
              <a16:creationId xmlns:a16="http://schemas.microsoft.com/office/drawing/2014/main" id="{4DCBBE7B-E57E-4C3E-A559-4583BD52D4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oneCellAnchor>
  <xdr:oneCellAnchor>
    <xdr:from>
      <xdr:col>27</xdr:col>
      <xdr:colOff>14261</xdr:colOff>
      <xdr:row>59</xdr:row>
      <xdr:rowOff>26349</xdr:rowOff>
    </xdr:from>
    <xdr:ext cx="4680203" cy="2848840"/>
    <xdr:graphicFrame macro="">
      <xdr:nvGraphicFramePr>
        <xdr:cNvPr id="11" name="Gráfico 19">
          <a:extLst>
            <a:ext uri="{FF2B5EF4-FFF2-40B4-BE49-F238E27FC236}">
              <a16:creationId xmlns:a16="http://schemas.microsoft.com/office/drawing/2014/main" id="{0BB038CC-D89A-4551-8AC2-1FD91B20BA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oneCellAnchor>
  <xdr:oneCellAnchor>
    <xdr:from>
      <xdr:col>32</xdr:col>
      <xdr:colOff>423716</xdr:colOff>
      <xdr:row>59</xdr:row>
      <xdr:rowOff>32275</xdr:rowOff>
    </xdr:from>
    <xdr:ext cx="4624534" cy="2844158"/>
    <xdr:graphicFrame macro="">
      <xdr:nvGraphicFramePr>
        <xdr:cNvPr id="12" name="Gráfico 20">
          <a:extLst>
            <a:ext uri="{FF2B5EF4-FFF2-40B4-BE49-F238E27FC236}">
              <a16:creationId xmlns:a16="http://schemas.microsoft.com/office/drawing/2014/main" id="{36A6EC59-FCBE-4E8C-8201-8FE4908551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oneCellAnchor>
  <xdr:oneCellAnchor>
    <xdr:from>
      <xdr:col>37</xdr:col>
      <xdr:colOff>787941</xdr:colOff>
      <xdr:row>59</xdr:row>
      <xdr:rowOff>30136</xdr:rowOff>
    </xdr:from>
    <xdr:ext cx="4241259" cy="2845053"/>
    <xdr:graphicFrame macro="">
      <xdr:nvGraphicFramePr>
        <xdr:cNvPr id="13" name="Gráfico 21">
          <a:extLst>
            <a:ext uri="{FF2B5EF4-FFF2-40B4-BE49-F238E27FC236}">
              <a16:creationId xmlns:a16="http://schemas.microsoft.com/office/drawing/2014/main" id="{D241EB8C-9922-4197-885C-0E4FAB215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oneCellAnchor>
  <xdr:oneCellAnchor>
    <xdr:from>
      <xdr:col>16</xdr:col>
      <xdr:colOff>400050</xdr:colOff>
      <xdr:row>4</xdr:row>
      <xdr:rowOff>171450</xdr:rowOff>
    </xdr:from>
    <xdr:ext cx="6198177" cy="3047996"/>
    <xdr:graphicFrame macro="">
      <xdr:nvGraphicFramePr>
        <xdr:cNvPr id="14" name="Gráfico 19">
          <a:extLst>
            <a:ext uri="{FF2B5EF4-FFF2-40B4-BE49-F238E27FC236}">
              <a16:creationId xmlns:a16="http://schemas.microsoft.com/office/drawing/2014/main" id="{2CFFB7BE-4A78-444D-B987-46D14774C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oneCellAnchor>
  <xdr:oneCellAnchor>
    <xdr:from>
      <xdr:col>16</xdr:col>
      <xdr:colOff>400050</xdr:colOff>
      <xdr:row>17</xdr:row>
      <xdr:rowOff>76203</xdr:rowOff>
    </xdr:from>
    <xdr:ext cx="6200217" cy="3562904"/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24D913FD-A7DA-431E-889D-A53B9B133B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oneCellAnchor>
  <xdr:oneCellAnchor>
    <xdr:from>
      <xdr:col>16</xdr:col>
      <xdr:colOff>419096</xdr:colOff>
      <xdr:row>35</xdr:row>
      <xdr:rowOff>180978</xdr:rowOff>
    </xdr:from>
    <xdr:ext cx="7958132" cy="6310310"/>
    <xdr:graphicFrame macro="">
      <xdr:nvGraphicFramePr>
        <xdr:cNvPr id="16" name="Gráfico 23">
          <a:extLst>
            <a:ext uri="{FF2B5EF4-FFF2-40B4-BE49-F238E27FC236}">
              <a16:creationId xmlns:a16="http://schemas.microsoft.com/office/drawing/2014/main" id="{7DDCE491-F055-47DE-B3B4-EE132F745E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oneCellAnchor>
  <xdr:twoCellAnchor>
    <xdr:from>
      <xdr:col>27</xdr:col>
      <xdr:colOff>10583</xdr:colOff>
      <xdr:row>29</xdr:row>
      <xdr:rowOff>221673</xdr:rowOff>
    </xdr:from>
    <xdr:to>
      <xdr:col>32</xdr:col>
      <xdr:colOff>312965</xdr:colOff>
      <xdr:row>43</xdr:row>
      <xdr:rowOff>177248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2B6B0324-DCFC-45E8-B982-89B1316F22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oneCellAnchor>
    <xdr:from>
      <xdr:col>37</xdr:col>
      <xdr:colOff>860612</xdr:colOff>
      <xdr:row>4</xdr:row>
      <xdr:rowOff>11206</xdr:rowOff>
    </xdr:from>
    <xdr:ext cx="4146817" cy="2623778"/>
    <xdr:graphicFrame macro="">
      <xdr:nvGraphicFramePr>
        <xdr:cNvPr id="18" name="Gráfico 1">
          <a:extLst>
            <a:ext uri="{FF2B5EF4-FFF2-40B4-BE49-F238E27FC236}">
              <a16:creationId xmlns:a16="http://schemas.microsoft.com/office/drawing/2014/main" id="{28AC365A-6F9A-4657-AD6D-D4C52228EC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17318</xdr:colOff>
      <xdr:row>4</xdr:row>
      <xdr:rowOff>17322</xdr:rowOff>
    </xdr:from>
    <xdr:ext cx="4706215" cy="2615906"/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848DC0D4-C2F2-4602-99DD-579AE4150C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32</xdr:col>
      <xdr:colOff>452747</xdr:colOff>
      <xdr:row>4</xdr:row>
      <xdr:rowOff>13535</xdr:rowOff>
    </xdr:from>
    <xdr:ext cx="4621553" cy="2623778"/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1C320643-5C14-4F19-9F9F-B1EDECC8C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27</xdr:col>
      <xdr:colOff>30981</xdr:colOff>
      <xdr:row>14</xdr:row>
      <xdr:rowOff>191221</xdr:rowOff>
    </xdr:from>
    <xdr:ext cx="4699181" cy="3030311"/>
    <xdr:graphicFrame macro="">
      <xdr:nvGraphicFramePr>
        <xdr:cNvPr id="4" name="Gráfico 7">
          <a:extLst>
            <a:ext uri="{FF2B5EF4-FFF2-40B4-BE49-F238E27FC236}">
              <a16:creationId xmlns:a16="http://schemas.microsoft.com/office/drawing/2014/main" id="{958547FD-D826-4B45-8DDD-F02CC47059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32</xdr:col>
      <xdr:colOff>460242</xdr:colOff>
      <xdr:row>14</xdr:row>
      <xdr:rowOff>195299</xdr:rowOff>
    </xdr:from>
    <xdr:ext cx="4637314" cy="3030315"/>
    <xdr:graphicFrame macro="">
      <xdr:nvGraphicFramePr>
        <xdr:cNvPr id="5" name="Gráfico 8">
          <a:extLst>
            <a:ext uri="{FF2B5EF4-FFF2-40B4-BE49-F238E27FC236}">
              <a16:creationId xmlns:a16="http://schemas.microsoft.com/office/drawing/2014/main" id="{6CC7B7D1-38B8-4952-B39B-51AF389383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32</xdr:col>
      <xdr:colOff>408213</xdr:colOff>
      <xdr:row>29</xdr:row>
      <xdr:rowOff>220435</xdr:rowOff>
    </xdr:from>
    <xdr:ext cx="4626430" cy="2894239"/>
    <xdr:graphicFrame macro="">
      <xdr:nvGraphicFramePr>
        <xdr:cNvPr id="6" name="Gráfico 13">
          <a:extLst>
            <a:ext uri="{FF2B5EF4-FFF2-40B4-BE49-F238E27FC236}">
              <a16:creationId xmlns:a16="http://schemas.microsoft.com/office/drawing/2014/main" id="{6CDDDC07-206B-4EB0-B682-2603F04320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  <xdr:oneCellAnchor>
    <xdr:from>
      <xdr:col>37</xdr:col>
      <xdr:colOff>787049</xdr:colOff>
      <xdr:row>29</xdr:row>
      <xdr:rowOff>226942</xdr:rowOff>
    </xdr:from>
    <xdr:ext cx="4233986" cy="2897257"/>
    <xdr:graphicFrame macro="">
      <xdr:nvGraphicFramePr>
        <xdr:cNvPr id="7" name="Gráfico 15">
          <a:extLst>
            <a:ext uri="{FF2B5EF4-FFF2-40B4-BE49-F238E27FC236}">
              <a16:creationId xmlns:a16="http://schemas.microsoft.com/office/drawing/2014/main" id="{2E782B81-0F31-4C3F-AE8E-1457C33C8D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oneCellAnchor>
  <xdr:oneCellAnchor>
    <xdr:from>
      <xdr:col>27</xdr:col>
      <xdr:colOff>7258</xdr:colOff>
      <xdr:row>44</xdr:row>
      <xdr:rowOff>90014</xdr:rowOff>
    </xdr:from>
    <xdr:ext cx="4669517" cy="2662504"/>
    <xdr:graphicFrame macro="">
      <xdr:nvGraphicFramePr>
        <xdr:cNvPr id="8" name="Gráfico 16">
          <a:extLst>
            <a:ext uri="{FF2B5EF4-FFF2-40B4-BE49-F238E27FC236}">
              <a16:creationId xmlns:a16="http://schemas.microsoft.com/office/drawing/2014/main" id="{4CE74011-ADD6-499D-8F36-1072EEEE80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oneCellAnchor>
  <xdr:oneCellAnchor>
    <xdr:from>
      <xdr:col>32</xdr:col>
      <xdr:colOff>421822</xdr:colOff>
      <xdr:row>44</xdr:row>
      <xdr:rowOff>92994</xdr:rowOff>
    </xdr:from>
    <xdr:ext cx="4626427" cy="2656599"/>
    <xdr:graphicFrame macro="">
      <xdr:nvGraphicFramePr>
        <xdr:cNvPr id="9" name="Gráfico 17">
          <a:extLst>
            <a:ext uri="{FF2B5EF4-FFF2-40B4-BE49-F238E27FC236}">
              <a16:creationId xmlns:a16="http://schemas.microsoft.com/office/drawing/2014/main" id="{7C5B5165-5E1A-4B97-83F0-9487FB487F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oneCellAnchor>
  <xdr:oneCellAnchor>
    <xdr:from>
      <xdr:col>37</xdr:col>
      <xdr:colOff>789333</xdr:colOff>
      <xdr:row>44</xdr:row>
      <xdr:rowOff>104481</xdr:rowOff>
    </xdr:from>
    <xdr:ext cx="4238211" cy="2656940"/>
    <xdr:graphicFrame macro="">
      <xdr:nvGraphicFramePr>
        <xdr:cNvPr id="10" name="Gráfico 18">
          <a:extLst>
            <a:ext uri="{FF2B5EF4-FFF2-40B4-BE49-F238E27FC236}">
              <a16:creationId xmlns:a16="http://schemas.microsoft.com/office/drawing/2014/main" id="{A720A3DE-83B5-480F-97CE-FBE3490BC8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oneCellAnchor>
  <xdr:oneCellAnchor>
    <xdr:from>
      <xdr:col>27</xdr:col>
      <xdr:colOff>14261</xdr:colOff>
      <xdr:row>59</xdr:row>
      <xdr:rowOff>26349</xdr:rowOff>
    </xdr:from>
    <xdr:ext cx="4680203" cy="2848840"/>
    <xdr:graphicFrame macro="">
      <xdr:nvGraphicFramePr>
        <xdr:cNvPr id="11" name="Gráfico 19">
          <a:extLst>
            <a:ext uri="{FF2B5EF4-FFF2-40B4-BE49-F238E27FC236}">
              <a16:creationId xmlns:a16="http://schemas.microsoft.com/office/drawing/2014/main" id="{18C54F1F-DC66-4B97-98F6-C6CEE488EA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oneCellAnchor>
  <xdr:oneCellAnchor>
    <xdr:from>
      <xdr:col>32</xdr:col>
      <xdr:colOff>423716</xdr:colOff>
      <xdr:row>59</xdr:row>
      <xdr:rowOff>32275</xdr:rowOff>
    </xdr:from>
    <xdr:ext cx="4624534" cy="2844158"/>
    <xdr:graphicFrame macro="">
      <xdr:nvGraphicFramePr>
        <xdr:cNvPr id="12" name="Gráfico 20">
          <a:extLst>
            <a:ext uri="{FF2B5EF4-FFF2-40B4-BE49-F238E27FC236}">
              <a16:creationId xmlns:a16="http://schemas.microsoft.com/office/drawing/2014/main" id="{626252AF-F4FC-4DE1-BFBD-2E66A94E82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oneCellAnchor>
  <xdr:oneCellAnchor>
    <xdr:from>
      <xdr:col>37</xdr:col>
      <xdr:colOff>787941</xdr:colOff>
      <xdr:row>59</xdr:row>
      <xdr:rowOff>30136</xdr:rowOff>
    </xdr:from>
    <xdr:ext cx="4241259" cy="2845053"/>
    <xdr:graphicFrame macro="">
      <xdr:nvGraphicFramePr>
        <xdr:cNvPr id="13" name="Gráfico 21">
          <a:extLst>
            <a:ext uri="{FF2B5EF4-FFF2-40B4-BE49-F238E27FC236}">
              <a16:creationId xmlns:a16="http://schemas.microsoft.com/office/drawing/2014/main" id="{102EEDD7-86BA-4CAF-A14B-A195C520B1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oneCellAnchor>
  <xdr:oneCellAnchor>
    <xdr:from>
      <xdr:col>16</xdr:col>
      <xdr:colOff>400050</xdr:colOff>
      <xdr:row>4</xdr:row>
      <xdr:rowOff>171450</xdr:rowOff>
    </xdr:from>
    <xdr:ext cx="6198177" cy="3047996"/>
    <xdr:graphicFrame macro="">
      <xdr:nvGraphicFramePr>
        <xdr:cNvPr id="14" name="Gráfico 19">
          <a:extLst>
            <a:ext uri="{FF2B5EF4-FFF2-40B4-BE49-F238E27FC236}">
              <a16:creationId xmlns:a16="http://schemas.microsoft.com/office/drawing/2014/main" id="{C0D82C2F-3E1F-40EC-B542-0BED4FDA77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oneCellAnchor>
  <xdr:oneCellAnchor>
    <xdr:from>
      <xdr:col>16</xdr:col>
      <xdr:colOff>400050</xdr:colOff>
      <xdr:row>17</xdr:row>
      <xdr:rowOff>76203</xdr:rowOff>
    </xdr:from>
    <xdr:ext cx="6200217" cy="3562904"/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1323621C-1035-426A-A30B-736F0D2408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oneCellAnchor>
  <xdr:oneCellAnchor>
    <xdr:from>
      <xdr:col>16</xdr:col>
      <xdr:colOff>419096</xdr:colOff>
      <xdr:row>35</xdr:row>
      <xdr:rowOff>180978</xdr:rowOff>
    </xdr:from>
    <xdr:ext cx="7958132" cy="6310310"/>
    <xdr:graphicFrame macro="">
      <xdr:nvGraphicFramePr>
        <xdr:cNvPr id="16" name="Gráfico 23">
          <a:extLst>
            <a:ext uri="{FF2B5EF4-FFF2-40B4-BE49-F238E27FC236}">
              <a16:creationId xmlns:a16="http://schemas.microsoft.com/office/drawing/2014/main" id="{F3357CB6-1BBA-4115-87EB-3840A40900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oneCellAnchor>
  <xdr:twoCellAnchor>
    <xdr:from>
      <xdr:col>27</xdr:col>
      <xdr:colOff>10583</xdr:colOff>
      <xdr:row>29</xdr:row>
      <xdr:rowOff>221673</xdr:rowOff>
    </xdr:from>
    <xdr:to>
      <xdr:col>32</xdr:col>
      <xdr:colOff>312965</xdr:colOff>
      <xdr:row>43</xdr:row>
      <xdr:rowOff>177248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505C7B20-46E3-43C6-8749-D1E628ED8D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oneCellAnchor>
    <xdr:from>
      <xdr:col>37</xdr:col>
      <xdr:colOff>860612</xdr:colOff>
      <xdr:row>4</xdr:row>
      <xdr:rowOff>11206</xdr:rowOff>
    </xdr:from>
    <xdr:ext cx="4146817" cy="2623778"/>
    <xdr:graphicFrame macro="">
      <xdr:nvGraphicFramePr>
        <xdr:cNvPr id="18" name="Gráfico 1">
          <a:extLst>
            <a:ext uri="{FF2B5EF4-FFF2-40B4-BE49-F238E27FC236}">
              <a16:creationId xmlns:a16="http://schemas.microsoft.com/office/drawing/2014/main" id="{7D6BF78E-7057-424C-B359-CEB46DF1BF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17318</xdr:colOff>
      <xdr:row>1</xdr:row>
      <xdr:rowOff>28977</xdr:rowOff>
    </xdr:from>
    <xdr:ext cx="4646221" cy="2739487"/>
    <xdr:graphicFrame macro="">
      <xdr:nvGraphicFramePr>
        <xdr:cNvPr id="2" name="Gráfico 19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20</xdr:col>
      <xdr:colOff>791687</xdr:colOff>
      <xdr:row>1</xdr:row>
      <xdr:rowOff>29599</xdr:rowOff>
    </xdr:from>
    <xdr:ext cx="4646221" cy="2732062"/>
    <xdr:graphicFrame macro="">
      <xdr:nvGraphicFramePr>
        <xdr:cNvPr id="3" name="Gráfico 20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14</xdr:col>
      <xdr:colOff>819156</xdr:colOff>
      <xdr:row>63</xdr:row>
      <xdr:rowOff>12662</xdr:rowOff>
    </xdr:from>
    <xdr:ext cx="4646221" cy="2570021"/>
    <xdr:graphicFrame macro="">
      <xdr:nvGraphicFramePr>
        <xdr:cNvPr id="4" name="Gráfico 5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20</xdr:col>
      <xdr:colOff>806131</xdr:colOff>
      <xdr:row>63</xdr:row>
      <xdr:rowOff>3113</xdr:rowOff>
    </xdr:from>
    <xdr:ext cx="4636726" cy="2518065"/>
    <xdr:graphicFrame macro="">
      <xdr:nvGraphicFramePr>
        <xdr:cNvPr id="5" name="Gráfico 6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15</xdr:col>
      <xdr:colOff>0</xdr:colOff>
      <xdr:row>31</xdr:row>
      <xdr:rowOff>85267</xdr:rowOff>
    </xdr:from>
    <xdr:ext cx="4646221" cy="2743200"/>
    <xdr:graphicFrame macro="">
      <xdr:nvGraphicFramePr>
        <xdr:cNvPr id="6" name="Gráfico 7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  <xdr:oneCellAnchor>
    <xdr:from>
      <xdr:col>20</xdr:col>
      <xdr:colOff>793854</xdr:colOff>
      <xdr:row>31</xdr:row>
      <xdr:rowOff>98252</xdr:rowOff>
    </xdr:from>
    <xdr:ext cx="4644054" cy="2743200"/>
    <xdr:graphicFrame macro="">
      <xdr:nvGraphicFramePr>
        <xdr:cNvPr id="7" name="Gráfico 8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oneCellAnchor>
  <xdr:oneCellAnchor>
    <xdr:from>
      <xdr:col>20</xdr:col>
      <xdr:colOff>792931</xdr:colOff>
      <xdr:row>46</xdr:row>
      <xdr:rowOff>163285</xdr:rowOff>
    </xdr:from>
    <xdr:ext cx="4649926" cy="2748643"/>
    <xdr:graphicFrame macro="">
      <xdr:nvGraphicFramePr>
        <xdr:cNvPr id="8" name="Gráfico 14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oneCellAnchor>
  <xdr:oneCellAnchor>
    <xdr:from>
      <xdr:col>14</xdr:col>
      <xdr:colOff>820140</xdr:colOff>
      <xdr:row>78</xdr:row>
      <xdr:rowOff>61767</xdr:rowOff>
    </xdr:from>
    <xdr:ext cx="4663537" cy="2743200"/>
    <xdr:graphicFrame macro="">
      <xdr:nvGraphicFramePr>
        <xdr:cNvPr id="9" name="Gráfico 16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oneCellAnchor>
  <xdr:oneCellAnchor>
    <xdr:from>
      <xdr:col>20</xdr:col>
      <xdr:colOff>787483</xdr:colOff>
      <xdr:row>78</xdr:row>
      <xdr:rowOff>43837</xdr:rowOff>
    </xdr:from>
    <xdr:ext cx="4655373" cy="2816681"/>
    <xdr:graphicFrame macro="">
      <xdr:nvGraphicFramePr>
        <xdr:cNvPr id="10" name="Gráfico 1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oneCellAnchor>
  <xdr:oneCellAnchor>
    <xdr:from>
      <xdr:col>15</xdr:col>
      <xdr:colOff>51739</xdr:colOff>
      <xdr:row>94</xdr:row>
      <xdr:rowOff>76096</xdr:rowOff>
    </xdr:from>
    <xdr:ext cx="4591211" cy="2707181"/>
    <xdr:graphicFrame macro="">
      <xdr:nvGraphicFramePr>
        <xdr:cNvPr id="11" name="Gráfico 19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oneCellAnchor>
  <xdr:oneCellAnchor>
    <xdr:from>
      <xdr:col>20</xdr:col>
      <xdr:colOff>776117</xdr:colOff>
      <xdr:row>94</xdr:row>
      <xdr:rowOff>112117</xdr:rowOff>
    </xdr:from>
    <xdr:ext cx="4680347" cy="2707181"/>
    <xdr:graphicFrame macro="">
      <xdr:nvGraphicFramePr>
        <xdr:cNvPr id="12" name="Gráfico 20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oneCellAnchor>
  <xdr:oneCellAnchor>
    <xdr:from>
      <xdr:col>20</xdr:col>
      <xdr:colOff>765791</xdr:colOff>
      <xdr:row>110</xdr:row>
      <xdr:rowOff>97787</xdr:rowOff>
    </xdr:from>
    <xdr:ext cx="4694755" cy="2773319"/>
    <xdr:graphicFrame macro="">
      <xdr:nvGraphicFramePr>
        <xdr:cNvPr id="13" name="Gráfico 23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oneCellAnchor>
  <xdr:oneCellAnchor>
    <xdr:from>
      <xdr:col>15</xdr:col>
      <xdr:colOff>71742</xdr:colOff>
      <xdr:row>110</xdr:row>
      <xdr:rowOff>88973</xdr:rowOff>
    </xdr:from>
    <xdr:ext cx="4572000" cy="2782134"/>
    <xdr:graphicFrame macro="">
      <xdr:nvGraphicFramePr>
        <xdr:cNvPr id="14" name="Gráfico 18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oneCellAnchor>
  <xdr:oneCellAnchor>
    <xdr:from>
      <xdr:col>15</xdr:col>
      <xdr:colOff>990</xdr:colOff>
      <xdr:row>46</xdr:row>
      <xdr:rowOff>134379</xdr:rowOff>
    </xdr:from>
    <xdr:ext cx="4639046" cy="2747278"/>
    <xdr:graphicFrame macro="">
      <xdr:nvGraphicFramePr>
        <xdr:cNvPr id="15" name="Gráfico 19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oneCellAnchor>
  <xdr:oneCellAnchor>
    <xdr:from>
      <xdr:col>20</xdr:col>
      <xdr:colOff>782673</xdr:colOff>
      <xdr:row>15</xdr:row>
      <xdr:rowOff>163286</xdr:rowOff>
    </xdr:from>
    <xdr:ext cx="4646221" cy="2732062"/>
    <xdr:graphicFrame macro="">
      <xdr:nvGraphicFramePr>
        <xdr:cNvPr id="16" name="Gráfico 37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oneCellAnchor>
  <xdr:oneCellAnchor>
    <xdr:from>
      <xdr:col>15</xdr:col>
      <xdr:colOff>11477</xdr:colOff>
      <xdr:row>15</xdr:row>
      <xdr:rowOff>146038</xdr:rowOff>
    </xdr:from>
    <xdr:ext cx="4642165" cy="2752284"/>
    <xdr:graphicFrame macro="">
      <xdr:nvGraphicFramePr>
        <xdr:cNvPr id="17" name="Gráfico 38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oneCellAnchor>
</xdr:wsDr>
</file>

<file path=xl/theme/theme1.xml><?xml version="1.0" encoding="utf-8"?>
<a:theme xmlns:a="http://schemas.openxmlformats.org/drawingml/2006/main" name="CORES">
  <a:themeElements>
    <a:clrScheme name="CORES">
      <a:dk1>
        <a:srgbClr val="000000"/>
      </a:dk1>
      <a:lt1>
        <a:srgbClr val="FFFFFF"/>
      </a:lt1>
      <a:dk2>
        <a:srgbClr val="CD2D00"/>
      </a:dk2>
      <a:lt2>
        <a:srgbClr val="F0EFEC"/>
      </a:lt2>
      <a:accent1>
        <a:srgbClr val="CD2D00"/>
      </a:accent1>
      <a:accent2>
        <a:srgbClr val="C19E76"/>
      </a:accent2>
      <a:accent3>
        <a:srgbClr val="5F8EA9"/>
      </a:accent3>
      <a:accent4>
        <a:srgbClr val="A59076"/>
      </a:accent4>
      <a:accent5>
        <a:srgbClr val="86AEC4"/>
      </a:accent5>
      <a:accent6>
        <a:srgbClr val="C2BDB5"/>
      </a:accent6>
      <a:hlink>
        <a:srgbClr val="812411"/>
      </a:hlink>
      <a:folHlink>
        <a:srgbClr val="671C0D"/>
      </a:folHlink>
    </a:clrScheme>
    <a:fontScheme name="Clásico de Office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V41"/>
  <sheetViews>
    <sheetView showGridLines="0" zoomScale="80" zoomScaleNormal="80" workbookViewId="0">
      <selection activeCell="K34" sqref="K34"/>
    </sheetView>
  </sheetViews>
  <sheetFormatPr baseColWidth="10" defaultColWidth="10" defaultRowHeight="0" customHeight="1" zeroHeight="1" x14ac:dyDescent="0.2"/>
  <cols>
    <col min="1" max="7" width="10" style="48" customWidth="1"/>
    <col min="8" max="8" width="10" style="49" customWidth="1"/>
    <col min="9" max="16384" width="10" style="49"/>
  </cols>
  <sheetData>
    <row r="1" spans="2:256" ht="14.25" x14ac:dyDescent="0.2"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  <c r="IM1" s="48"/>
      <c r="IN1" s="48"/>
      <c r="IO1" s="48"/>
      <c r="IP1" s="48"/>
      <c r="IQ1" s="48"/>
      <c r="IR1" s="48"/>
      <c r="IS1" s="48"/>
      <c r="IT1" s="48"/>
      <c r="IU1" s="48"/>
      <c r="IV1" s="48"/>
    </row>
    <row r="2" spans="2:256" ht="14.25" x14ac:dyDescent="0.2"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  <c r="IM2" s="48"/>
      <c r="IN2" s="48"/>
      <c r="IO2" s="48"/>
      <c r="IP2" s="48"/>
      <c r="IQ2" s="48"/>
      <c r="IR2" s="48"/>
      <c r="IS2" s="48"/>
      <c r="IT2" s="48"/>
      <c r="IU2" s="48"/>
      <c r="IV2" s="48"/>
    </row>
    <row r="3" spans="2:256" ht="14.25" x14ac:dyDescent="0.2"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  <c r="IM3" s="48"/>
      <c r="IN3" s="48"/>
      <c r="IO3" s="48"/>
      <c r="IP3" s="48"/>
      <c r="IQ3" s="48"/>
      <c r="IR3" s="48"/>
      <c r="IS3" s="48"/>
      <c r="IT3" s="48"/>
      <c r="IU3" s="48"/>
      <c r="IV3" s="48"/>
    </row>
    <row r="4" spans="2:256" ht="14.25" x14ac:dyDescent="0.2"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  <c r="IM4" s="48"/>
      <c r="IN4" s="48"/>
      <c r="IO4" s="48"/>
      <c r="IP4" s="48"/>
      <c r="IQ4" s="48"/>
      <c r="IR4" s="48"/>
      <c r="IS4" s="48"/>
      <c r="IT4" s="48"/>
      <c r="IU4" s="48"/>
      <c r="IV4" s="48"/>
    </row>
    <row r="5" spans="2:256" ht="14.25" x14ac:dyDescent="0.2"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  <c r="IM5" s="48"/>
      <c r="IN5" s="48"/>
      <c r="IO5" s="48"/>
      <c r="IP5" s="48"/>
      <c r="IQ5" s="48"/>
      <c r="IR5" s="48"/>
      <c r="IS5" s="48"/>
      <c r="IT5" s="48"/>
      <c r="IU5" s="48"/>
      <c r="IV5" s="48"/>
    </row>
    <row r="6" spans="2:256" ht="14.25" x14ac:dyDescent="0.2"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  <c r="IM6" s="48"/>
      <c r="IN6" s="48"/>
      <c r="IO6" s="48"/>
      <c r="IP6" s="48"/>
      <c r="IQ6" s="48"/>
      <c r="IR6" s="48"/>
      <c r="IS6" s="48"/>
      <c r="IT6" s="48"/>
      <c r="IU6" s="48"/>
      <c r="IV6" s="48"/>
    </row>
    <row r="7" spans="2:256" ht="14.25" x14ac:dyDescent="0.2"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  <c r="IM7" s="48"/>
      <c r="IN7" s="48"/>
      <c r="IO7" s="48"/>
      <c r="IP7" s="48"/>
      <c r="IQ7" s="48"/>
      <c r="IR7" s="48"/>
      <c r="IS7" s="48"/>
      <c r="IT7" s="48"/>
      <c r="IU7" s="48"/>
      <c r="IV7" s="48"/>
    </row>
    <row r="8" spans="2:256" ht="14.25" x14ac:dyDescent="0.2"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  <c r="IM8" s="48"/>
      <c r="IN8" s="48"/>
      <c r="IO8" s="48"/>
      <c r="IP8" s="48"/>
      <c r="IQ8" s="48"/>
      <c r="IR8" s="48"/>
      <c r="IS8" s="48"/>
      <c r="IT8" s="48"/>
      <c r="IU8" s="48"/>
      <c r="IV8" s="48"/>
    </row>
    <row r="9" spans="2:256" ht="14.25" x14ac:dyDescent="0.2"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  <c r="IM9" s="48"/>
      <c r="IN9" s="48"/>
      <c r="IO9" s="48"/>
      <c r="IP9" s="48"/>
      <c r="IQ9" s="48"/>
      <c r="IR9" s="48"/>
      <c r="IS9" s="48"/>
      <c r="IT9" s="48"/>
      <c r="IU9" s="48"/>
      <c r="IV9" s="48"/>
    </row>
    <row r="10" spans="2:256" ht="15" x14ac:dyDescent="0.25">
      <c r="F10" s="50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  <c r="IM10" s="48"/>
      <c r="IN10" s="48"/>
      <c r="IO10" s="48"/>
      <c r="IP10" s="48"/>
      <c r="IQ10" s="48"/>
      <c r="IR10" s="48"/>
      <c r="IS10" s="48"/>
      <c r="IT10" s="48"/>
      <c r="IU10" s="48"/>
      <c r="IV10" s="48"/>
    </row>
    <row r="11" spans="2:256" ht="15" x14ac:dyDescent="0.25">
      <c r="F11" s="50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  <c r="IM11" s="48"/>
      <c r="IN11" s="48"/>
      <c r="IO11" s="48"/>
      <c r="IP11" s="48"/>
      <c r="IQ11" s="48"/>
      <c r="IR11" s="48"/>
      <c r="IS11" s="48"/>
      <c r="IT11" s="48"/>
      <c r="IU11" s="48"/>
      <c r="IV11" s="48"/>
    </row>
    <row r="12" spans="2:256" ht="14.25" x14ac:dyDescent="0.2"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  <c r="BV12" s="48"/>
      <c r="BW12" s="48"/>
      <c r="BX12" s="48"/>
      <c r="BY12" s="48"/>
      <c r="BZ12" s="48"/>
      <c r="CA12" s="48"/>
      <c r="CB12" s="48"/>
      <c r="CC12" s="48"/>
      <c r="CD12" s="48"/>
      <c r="CE12" s="48"/>
      <c r="CF12" s="48"/>
      <c r="CG12" s="48"/>
      <c r="CH12" s="48"/>
      <c r="CI12" s="48"/>
      <c r="CJ12" s="48"/>
      <c r="CK12" s="48"/>
      <c r="CL12" s="48"/>
      <c r="CM12" s="48"/>
      <c r="CN12" s="48"/>
      <c r="CO12" s="48"/>
      <c r="CP12" s="48"/>
      <c r="CQ12" s="48"/>
      <c r="CR12" s="48"/>
      <c r="CS12" s="48"/>
      <c r="CT12" s="48"/>
      <c r="CU12" s="48"/>
      <c r="CV12" s="48"/>
      <c r="CW12" s="48"/>
      <c r="CX12" s="48"/>
      <c r="CY12" s="48"/>
      <c r="CZ12" s="48"/>
      <c r="DA12" s="48"/>
      <c r="DB12" s="48"/>
      <c r="DC12" s="48"/>
      <c r="DD12" s="48"/>
      <c r="DE12" s="48"/>
      <c r="DF12" s="48"/>
      <c r="DG12" s="48"/>
      <c r="DH12" s="48"/>
      <c r="DI12" s="48"/>
      <c r="DJ12" s="48"/>
      <c r="DK12" s="48"/>
      <c r="DL12" s="48"/>
      <c r="DM12" s="48"/>
      <c r="DN12" s="48"/>
      <c r="DO12" s="48"/>
      <c r="DP12" s="48"/>
      <c r="DQ12" s="48"/>
      <c r="DR12" s="48"/>
      <c r="DS12" s="48"/>
      <c r="DT12" s="48"/>
      <c r="DU12" s="48"/>
      <c r="DV12" s="48"/>
      <c r="DW12" s="48"/>
      <c r="DX12" s="48"/>
      <c r="DY12" s="48"/>
      <c r="DZ12" s="48"/>
      <c r="EA12" s="48"/>
      <c r="EB12" s="48"/>
      <c r="EC12" s="48"/>
      <c r="ED12" s="48"/>
      <c r="EE12" s="48"/>
      <c r="EF12" s="48"/>
      <c r="EG12" s="48"/>
      <c r="EH12" s="48"/>
      <c r="EI12" s="48"/>
      <c r="EJ12" s="48"/>
      <c r="EK12" s="48"/>
      <c r="EL12" s="48"/>
      <c r="EM12" s="48"/>
      <c r="EN12" s="48"/>
      <c r="EO12" s="48"/>
      <c r="EP12" s="48"/>
      <c r="EQ12" s="48"/>
      <c r="ER12" s="48"/>
      <c r="ES12" s="48"/>
      <c r="ET12" s="48"/>
      <c r="EU12" s="48"/>
      <c r="EV12" s="48"/>
      <c r="EW12" s="48"/>
      <c r="EX12" s="48"/>
      <c r="EY12" s="48"/>
      <c r="EZ12" s="48"/>
      <c r="FA12" s="48"/>
      <c r="FB12" s="48"/>
      <c r="FC12" s="48"/>
      <c r="FD12" s="48"/>
      <c r="FE12" s="48"/>
      <c r="FF12" s="48"/>
      <c r="FG12" s="48"/>
      <c r="FH12" s="48"/>
      <c r="FI12" s="48"/>
      <c r="FJ12" s="48"/>
      <c r="FK12" s="48"/>
      <c r="FL12" s="48"/>
      <c r="FM12" s="48"/>
      <c r="FN12" s="48"/>
      <c r="FO12" s="48"/>
      <c r="FP12" s="48"/>
      <c r="FQ12" s="48"/>
      <c r="FR12" s="48"/>
      <c r="FS12" s="48"/>
      <c r="FT12" s="48"/>
      <c r="FU12" s="48"/>
      <c r="FV12" s="48"/>
      <c r="FW12" s="48"/>
      <c r="FX12" s="48"/>
      <c r="FY12" s="48"/>
      <c r="FZ12" s="48"/>
      <c r="GA12" s="48"/>
      <c r="GB12" s="48"/>
      <c r="GC12" s="48"/>
      <c r="GD12" s="48"/>
      <c r="GE12" s="48"/>
      <c r="GF12" s="48"/>
      <c r="GG12" s="48"/>
      <c r="GH12" s="48"/>
      <c r="GI12" s="48"/>
      <c r="GJ12" s="48"/>
      <c r="GK12" s="48"/>
      <c r="GL12" s="48"/>
      <c r="GM12" s="48"/>
      <c r="GN12" s="48"/>
      <c r="GO12" s="48"/>
      <c r="GP12" s="48"/>
      <c r="GQ12" s="48"/>
      <c r="GR12" s="48"/>
      <c r="GS12" s="48"/>
      <c r="GT12" s="48"/>
      <c r="GU12" s="48"/>
      <c r="GV12" s="48"/>
      <c r="GW12" s="48"/>
      <c r="GX12" s="48"/>
      <c r="GY12" s="48"/>
      <c r="GZ12" s="48"/>
      <c r="HA12" s="48"/>
      <c r="HB12" s="48"/>
      <c r="HC12" s="48"/>
      <c r="HD12" s="48"/>
      <c r="HE12" s="48"/>
      <c r="HF12" s="48"/>
      <c r="HG12" s="48"/>
      <c r="HH12" s="48"/>
      <c r="HI12" s="48"/>
      <c r="HJ12" s="48"/>
      <c r="HK12" s="48"/>
      <c r="HL12" s="48"/>
      <c r="HM12" s="48"/>
      <c r="HN12" s="48"/>
      <c r="HO12" s="48"/>
      <c r="HP12" s="48"/>
      <c r="HQ12" s="48"/>
      <c r="HR12" s="48"/>
      <c r="HS12" s="48"/>
      <c r="HT12" s="48"/>
      <c r="HU12" s="48"/>
      <c r="HV12" s="48"/>
      <c r="HW12" s="48"/>
      <c r="HX12" s="48"/>
      <c r="HY12" s="48"/>
      <c r="HZ12" s="48"/>
      <c r="IA12" s="48"/>
      <c r="IB12" s="48"/>
      <c r="IC12" s="48"/>
      <c r="ID12" s="48"/>
      <c r="IE12" s="48"/>
      <c r="IF12" s="48"/>
      <c r="IG12" s="48"/>
      <c r="IH12" s="48"/>
      <c r="II12" s="48"/>
      <c r="IJ12" s="48"/>
      <c r="IK12" s="48"/>
      <c r="IL12" s="48"/>
      <c r="IM12" s="48"/>
      <c r="IN12" s="48"/>
      <c r="IO12" s="48"/>
      <c r="IP12" s="48"/>
      <c r="IQ12" s="48"/>
      <c r="IR12" s="48"/>
      <c r="IS12" s="48"/>
      <c r="IT12" s="48"/>
      <c r="IU12" s="48"/>
      <c r="IV12" s="48"/>
    </row>
    <row r="13" spans="2:256" ht="30" customHeight="1" x14ac:dyDescent="0.2">
      <c r="B13" s="92" t="s">
        <v>59</v>
      </c>
      <c r="C13" s="92"/>
      <c r="D13" s="92"/>
      <c r="E13" s="92"/>
      <c r="F13" s="92"/>
      <c r="G13" s="92"/>
      <c r="H13" s="92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I13" s="48"/>
      <c r="BJ13" s="48"/>
      <c r="BK13" s="48"/>
      <c r="BL13" s="48"/>
      <c r="BM13" s="48"/>
      <c r="BN13" s="48"/>
      <c r="BO13" s="48"/>
      <c r="BP13" s="48"/>
      <c r="BQ13" s="48"/>
      <c r="BR13" s="48"/>
      <c r="BS13" s="48"/>
      <c r="BT13" s="48"/>
      <c r="BU13" s="48"/>
      <c r="BV13" s="48"/>
      <c r="BW13" s="48"/>
      <c r="BX13" s="48"/>
      <c r="BY13" s="48"/>
      <c r="BZ13" s="48"/>
      <c r="CA13" s="48"/>
      <c r="CB13" s="48"/>
      <c r="CC13" s="48"/>
      <c r="CD13" s="48"/>
      <c r="CE13" s="48"/>
      <c r="CF13" s="48"/>
      <c r="CG13" s="48"/>
      <c r="CH13" s="48"/>
      <c r="CI13" s="48"/>
      <c r="CJ13" s="48"/>
      <c r="CK13" s="48"/>
      <c r="CL13" s="48"/>
      <c r="CM13" s="48"/>
      <c r="CN13" s="48"/>
      <c r="CO13" s="48"/>
      <c r="CP13" s="48"/>
      <c r="CQ13" s="48"/>
      <c r="CR13" s="48"/>
      <c r="CS13" s="48"/>
      <c r="CT13" s="48"/>
      <c r="CU13" s="48"/>
      <c r="CV13" s="48"/>
      <c r="CW13" s="48"/>
      <c r="CX13" s="48"/>
      <c r="CY13" s="48"/>
      <c r="CZ13" s="48"/>
      <c r="DA13" s="48"/>
      <c r="DB13" s="48"/>
      <c r="DC13" s="48"/>
      <c r="DD13" s="48"/>
      <c r="DE13" s="48"/>
      <c r="DF13" s="48"/>
      <c r="DG13" s="48"/>
      <c r="DH13" s="48"/>
      <c r="DI13" s="48"/>
      <c r="DJ13" s="48"/>
      <c r="DK13" s="48"/>
      <c r="DL13" s="48"/>
      <c r="DM13" s="48"/>
      <c r="DN13" s="48"/>
      <c r="DO13" s="48"/>
      <c r="DP13" s="48"/>
      <c r="DQ13" s="48"/>
      <c r="DR13" s="48"/>
      <c r="DS13" s="48"/>
      <c r="DT13" s="48"/>
      <c r="DU13" s="48"/>
      <c r="DV13" s="48"/>
      <c r="DW13" s="48"/>
      <c r="DX13" s="48"/>
      <c r="DY13" s="48"/>
      <c r="DZ13" s="48"/>
      <c r="EA13" s="48"/>
      <c r="EB13" s="48"/>
      <c r="EC13" s="48"/>
      <c r="ED13" s="48"/>
      <c r="EE13" s="48"/>
      <c r="EF13" s="48"/>
      <c r="EG13" s="48"/>
      <c r="EH13" s="48"/>
      <c r="EI13" s="48"/>
      <c r="EJ13" s="48"/>
      <c r="EK13" s="48"/>
      <c r="EL13" s="48"/>
      <c r="EM13" s="48"/>
      <c r="EN13" s="48"/>
      <c r="EO13" s="48"/>
      <c r="EP13" s="48"/>
      <c r="EQ13" s="48"/>
      <c r="ER13" s="48"/>
      <c r="ES13" s="48"/>
      <c r="ET13" s="48"/>
      <c r="EU13" s="48"/>
      <c r="EV13" s="48"/>
      <c r="EW13" s="48"/>
      <c r="EX13" s="48"/>
      <c r="EY13" s="48"/>
      <c r="EZ13" s="48"/>
      <c r="FA13" s="48"/>
      <c r="FB13" s="48"/>
      <c r="FC13" s="48"/>
      <c r="FD13" s="48"/>
      <c r="FE13" s="48"/>
      <c r="FF13" s="48"/>
      <c r="FG13" s="48"/>
      <c r="FH13" s="48"/>
      <c r="FI13" s="48"/>
      <c r="FJ13" s="48"/>
      <c r="FK13" s="48"/>
      <c r="FL13" s="48"/>
      <c r="FM13" s="48"/>
      <c r="FN13" s="48"/>
      <c r="FO13" s="48"/>
      <c r="FP13" s="48"/>
      <c r="FQ13" s="48"/>
      <c r="FR13" s="48"/>
      <c r="FS13" s="48"/>
      <c r="FT13" s="48"/>
      <c r="FU13" s="48"/>
      <c r="FV13" s="48"/>
      <c r="FW13" s="48"/>
      <c r="FX13" s="48"/>
      <c r="FY13" s="48"/>
      <c r="FZ13" s="48"/>
      <c r="GA13" s="48"/>
      <c r="GB13" s="48"/>
      <c r="GC13" s="48"/>
      <c r="GD13" s="48"/>
      <c r="GE13" s="48"/>
      <c r="GF13" s="48"/>
      <c r="GG13" s="48"/>
      <c r="GH13" s="48"/>
      <c r="GI13" s="48"/>
      <c r="GJ13" s="48"/>
      <c r="GK13" s="48"/>
      <c r="GL13" s="48"/>
      <c r="GM13" s="48"/>
      <c r="GN13" s="48"/>
      <c r="GO13" s="48"/>
      <c r="GP13" s="48"/>
      <c r="GQ13" s="48"/>
      <c r="GR13" s="48"/>
      <c r="GS13" s="48"/>
      <c r="GT13" s="48"/>
      <c r="GU13" s="48"/>
      <c r="GV13" s="48"/>
      <c r="GW13" s="48"/>
      <c r="GX13" s="48"/>
      <c r="GY13" s="48"/>
      <c r="GZ13" s="48"/>
      <c r="HA13" s="48"/>
      <c r="HB13" s="48"/>
      <c r="HC13" s="48"/>
      <c r="HD13" s="48"/>
      <c r="HE13" s="48"/>
      <c r="HF13" s="48"/>
      <c r="HG13" s="48"/>
      <c r="HH13" s="48"/>
      <c r="HI13" s="48"/>
      <c r="HJ13" s="48"/>
      <c r="HK13" s="48"/>
      <c r="HL13" s="48"/>
      <c r="HM13" s="48"/>
      <c r="HN13" s="48"/>
      <c r="HO13" s="48"/>
      <c r="HP13" s="48"/>
      <c r="HQ13" s="48"/>
      <c r="HR13" s="48"/>
      <c r="HS13" s="48"/>
      <c r="HT13" s="48"/>
      <c r="HU13" s="48"/>
      <c r="HV13" s="48"/>
      <c r="HW13" s="48"/>
      <c r="HX13" s="48"/>
      <c r="HY13" s="48"/>
      <c r="HZ13" s="48"/>
      <c r="IA13" s="48"/>
      <c r="IB13" s="48"/>
      <c r="IC13" s="48"/>
      <c r="ID13" s="48"/>
      <c r="IE13" s="48"/>
      <c r="IF13" s="48"/>
      <c r="IG13" s="48"/>
      <c r="IH13" s="48"/>
      <c r="II13" s="48"/>
      <c r="IJ13" s="48"/>
      <c r="IK13" s="48"/>
      <c r="IL13" s="48"/>
      <c r="IM13" s="48"/>
      <c r="IN13" s="48"/>
      <c r="IO13" s="48"/>
      <c r="IP13" s="48"/>
      <c r="IQ13" s="48"/>
      <c r="IR13" s="48"/>
      <c r="IS13" s="48"/>
      <c r="IT13" s="48"/>
      <c r="IU13" s="48"/>
      <c r="IV13" s="48"/>
    </row>
    <row r="14" spans="2:256" ht="36.75" customHeight="1" x14ac:dyDescent="0.2">
      <c r="B14" s="92"/>
      <c r="C14" s="92"/>
      <c r="D14" s="92"/>
      <c r="E14" s="92"/>
      <c r="F14" s="92"/>
      <c r="G14" s="92"/>
      <c r="H14" s="92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  <c r="BM14" s="48"/>
      <c r="BN14" s="48"/>
      <c r="BO14" s="48"/>
      <c r="BP14" s="48"/>
      <c r="BQ14" s="48"/>
      <c r="BR14" s="48"/>
      <c r="BS14" s="48"/>
      <c r="BT14" s="48"/>
      <c r="BU14" s="48"/>
      <c r="BV14" s="48"/>
      <c r="BW14" s="48"/>
      <c r="BX14" s="48"/>
      <c r="BY14" s="48"/>
      <c r="BZ14" s="48"/>
      <c r="CA14" s="48"/>
      <c r="CB14" s="48"/>
      <c r="CC14" s="48"/>
      <c r="CD14" s="48"/>
      <c r="CE14" s="48"/>
      <c r="CF14" s="48"/>
      <c r="CG14" s="48"/>
      <c r="CH14" s="48"/>
      <c r="CI14" s="48"/>
      <c r="CJ14" s="48"/>
      <c r="CK14" s="48"/>
      <c r="CL14" s="48"/>
      <c r="CM14" s="48"/>
      <c r="CN14" s="48"/>
      <c r="CO14" s="48"/>
      <c r="CP14" s="48"/>
      <c r="CQ14" s="48"/>
      <c r="CR14" s="48"/>
      <c r="CS14" s="48"/>
      <c r="CT14" s="48"/>
      <c r="CU14" s="48"/>
      <c r="CV14" s="48"/>
      <c r="CW14" s="48"/>
      <c r="CX14" s="48"/>
      <c r="CY14" s="48"/>
      <c r="CZ14" s="48"/>
      <c r="DA14" s="48"/>
      <c r="DB14" s="48"/>
      <c r="DC14" s="48"/>
      <c r="DD14" s="48"/>
      <c r="DE14" s="48"/>
      <c r="DF14" s="48"/>
      <c r="DG14" s="48"/>
      <c r="DH14" s="48"/>
      <c r="DI14" s="48"/>
      <c r="DJ14" s="48"/>
      <c r="DK14" s="48"/>
      <c r="DL14" s="48"/>
      <c r="DM14" s="48"/>
      <c r="DN14" s="48"/>
      <c r="DO14" s="48"/>
      <c r="DP14" s="48"/>
      <c r="DQ14" s="48"/>
      <c r="DR14" s="48"/>
      <c r="DS14" s="48"/>
      <c r="DT14" s="48"/>
      <c r="DU14" s="48"/>
      <c r="DV14" s="48"/>
      <c r="DW14" s="48"/>
      <c r="DX14" s="48"/>
      <c r="DY14" s="48"/>
      <c r="DZ14" s="48"/>
      <c r="EA14" s="48"/>
      <c r="EB14" s="48"/>
      <c r="EC14" s="48"/>
      <c r="ED14" s="48"/>
      <c r="EE14" s="48"/>
      <c r="EF14" s="48"/>
      <c r="EG14" s="48"/>
      <c r="EH14" s="48"/>
      <c r="EI14" s="48"/>
      <c r="EJ14" s="48"/>
      <c r="EK14" s="48"/>
      <c r="EL14" s="48"/>
      <c r="EM14" s="48"/>
      <c r="EN14" s="48"/>
      <c r="EO14" s="48"/>
      <c r="EP14" s="48"/>
      <c r="EQ14" s="48"/>
      <c r="ER14" s="48"/>
      <c r="ES14" s="48"/>
      <c r="ET14" s="48"/>
      <c r="EU14" s="48"/>
      <c r="EV14" s="48"/>
      <c r="EW14" s="48"/>
      <c r="EX14" s="48"/>
      <c r="EY14" s="48"/>
      <c r="EZ14" s="48"/>
      <c r="FA14" s="48"/>
      <c r="FB14" s="48"/>
      <c r="FC14" s="48"/>
      <c r="FD14" s="48"/>
      <c r="FE14" s="48"/>
      <c r="FF14" s="48"/>
      <c r="FG14" s="48"/>
      <c r="FH14" s="48"/>
      <c r="FI14" s="48"/>
      <c r="FJ14" s="48"/>
      <c r="FK14" s="48"/>
      <c r="FL14" s="48"/>
      <c r="FM14" s="48"/>
      <c r="FN14" s="48"/>
      <c r="FO14" s="48"/>
      <c r="FP14" s="48"/>
      <c r="FQ14" s="48"/>
      <c r="FR14" s="48"/>
      <c r="FS14" s="48"/>
      <c r="FT14" s="48"/>
      <c r="FU14" s="48"/>
      <c r="FV14" s="48"/>
      <c r="FW14" s="48"/>
      <c r="FX14" s="48"/>
      <c r="FY14" s="48"/>
      <c r="FZ14" s="48"/>
      <c r="GA14" s="48"/>
      <c r="GB14" s="48"/>
      <c r="GC14" s="48"/>
      <c r="GD14" s="48"/>
      <c r="GE14" s="48"/>
      <c r="GF14" s="48"/>
      <c r="GG14" s="48"/>
      <c r="GH14" s="48"/>
      <c r="GI14" s="48"/>
      <c r="GJ14" s="48"/>
      <c r="GK14" s="48"/>
      <c r="GL14" s="48"/>
      <c r="GM14" s="48"/>
      <c r="GN14" s="48"/>
      <c r="GO14" s="48"/>
      <c r="GP14" s="48"/>
      <c r="GQ14" s="48"/>
      <c r="GR14" s="48"/>
      <c r="GS14" s="48"/>
      <c r="GT14" s="48"/>
      <c r="GU14" s="48"/>
      <c r="GV14" s="48"/>
      <c r="GW14" s="48"/>
      <c r="GX14" s="48"/>
      <c r="GY14" s="48"/>
      <c r="GZ14" s="48"/>
      <c r="HA14" s="48"/>
      <c r="HB14" s="48"/>
      <c r="HC14" s="48"/>
      <c r="HD14" s="48"/>
      <c r="HE14" s="48"/>
      <c r="HF14" s="48"/>
      <c r="HG14" s="48"/>
      <c r="HH14" s="48"/>
      <c r="HI14" s="48"/>
      <c r="HJ14" s="48"/>
      <c r="HK14" s="48"/>
      <c r="HL14" s="48"/>
      <c r="HM14" s="48"/>
      <c r="HN14" s="48"/>
      <c r="HO14" s="48"/>
      <c r="HP14" s="48"/>
      <c r="HQ14" s="48"/>
      <c r="HR14" s="48"/>
      <c r="HS14" s="48"/>
      <c r="HT14" s="48"/>
      <c r="HU14" s="48"/>
      <c r="HV14" s="48"/>
      <c r="HW14" s="48"/>
      <c r="HX14" s="48"/>
      <c r="HY14" s="48"/>
      <c r="HZ14" s="48"/>
      <c r="IA14" s="48"/>
      <c r="IB14" s="48"/>
      <c r="IC14" s="48"/>
      <c r="ID14" s="48"/>
      <c r="IE14" s="48"/>
      <c r="IF14" s="48"/>
      <c r="IG14" s="48"/>
      <c r="IH14" s="48"/>
      <c r="II14" s="48"/>
      <c r="IJ14" s="48"/>
      <c r="IK14" s="48"/>
      <c r="IL14" s="48"/>
      <c r="IM14" s="48"/>
      <c r="IN14" s="48"/>
      <c r="IO14" s="48"/>
      <c r="IP14" s="48"/>
      <c r="IQ14" s="48"/>
      <c r="IR14" s="48"/>
      <c r="IS14" s="48"/>
      <c r="IT14" s="48"/>
      <c r="IU14" s="48"/>
      <c r="IV14" s="48"/>
    </row>
    <row r="15" spans="2:256" ht="36.75" customHeight="1" x14ac:dyDescent="0.4">
      <c r="B15" s="51"/>
      <c r="C15" s="51"/>
      <c r="D15" s="51"/>
      <c r="E15" s="51"/>
      <c r="F15" s="51"/>
      <c r="G15" s="51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  <c r="BM15" s="48"/>
      <c r="BN15" s="48"/>
      <c r="BO15" s="48"/>
      <c r="BP15" s="48"/>
      <c r="BQ15" s="48"/>
      <c r="BR15" s="48"/>
      <c r="BS15" s="48"/>
      <c r="BT15" s="48"/>
      <c r="BU15" s="48"/>
      <c r="BV15" s="48"/>
      <c r="BW15" s="48"/>
      <c r="BX15" s="48"/>
      <c r="BY15" s="48"/>
      <c r="BZ15" s="48"/>
      <c r="CA15" s="48"/>
      <c r="CB15" s="48"/>
      <c r="CC15" s="48"/>
      <c r="CD15" s="48"/>
      <c r="CE15" s="48"/>
      <c r="CF15" s="48"/>
      <c r="CG15" s="48"/>
      <c r="CH15" s="48"/>
      <c r="CI15" s="48"/>
      <c r="CJ15" s="48"/>
      <c r="CK15" s="48"/>
      <c r="CL15" s="48"/>
      <c r="CM15" s="48"/>
      <c r="CN15" s="48"/>
      <c r="CO15" s="48"/>
      <c r="CP15" s="48"/>
      <c r="CQ15" s="48"/>
      <c r="CR15" s="48"/>
      <c r="CS15" s="48"/>
      <c r="CT15" s="48"/>
      <c r="CU15" s="48"/>
      <c r="CV15" s="48"/>
      <c r="CW15" s="48"/>
      <c r="CX15" s="48"/>
      <c r="CY15" s="48"/>
      <c r="CZ15" s="48"/>
      <c r="DA15" s="48"/>
      <c r="DB15" s="48"/>
      <c r="DC15" s="48"/>
      <c r="DD15" s="48"/>
      <c r="DE15" s="48"/>
      <c r="DF15" s="48"/>
      <c r="DG15" s="48"/>
      <c r="DH15" s="48"/>
      <c r="DI15" s="48"/>
      <c r="DJ15" s="48"/>
      <c r="DK15" s="48"/>
      <c r="DL15" s="48"/>
      <c r="DM15" s="48"/>
      <c r="DN15" s="48"/>
      <c r="DO15" s="48"/>
      <c r="DP15" s="48"/>
      <c r="DQ15" s="48"/>
      <c r="DR15" s="48"/>
      <c r="DS15" s="48"/>
      <c r="DT15" s="48"/>
      <c r="DU15" s="48"/>
      <c r="DV15" s="48"/>
      <c r="DW15" s="48"/>
      <c r="DX15" s="48"/>
      <c r="DY15" s="48"/>
      <c r="DZ15" s="48"/>
      <c r="EA15" s="48"/>
      <c r="EB15" s="48"/>
      <c r="EC15" s="48"/>
      <c r="ED15" s="48"/>
      <c r="EE15" s="48"/>
      <c r="EF15" s="48"/>
      <c r="EG15" s="48"/>
      <c r="EH15" s="48"/>
      <c r="EI15" s="48"/>
      <c r="EJ15" s="48"/>
      <c r="EK15" s="48"/>
      <c r="EL15" s="48"/>
      <c r="EM15" s="48"/>
      <c r="EN15" s="48"/>
      <c r="EO15" s="48"/>
      <c r="EP15" s="48"/>
      <c r="EQ15" s="48"/>
      <c r="ER15" s="48"/>
      <c r="ES15" s="48"/>
      <c r="ET15" s="48"/>
      <c r="EU15" s="48"/>
      <c r="EV15" s="48"/>
      <c r="EW15" s="48"/>
      <c r="EX15" s="48"/>
      <c r="EY15" s="48"/>
      <c r="EZ15" s="48"/>
      <c r="FA15" s="48"/>
      <c r="FB15" s="48"/>
      <c r="FC15" s="48"/>
      <c r="FD15" s="48"/>
      <c r="FE15" s="48"/>
      <c r="FF15" s="48"/>
      <c r="FG15" s="48"/>
      <c r="FH15" s="48"/>
      <c r="FI15" s="48"/>
      <c r="FJ15" s="48"/>
      <c r="FK15" s="48"/>
      <c r="FL15" s="48"/>
      <c r="FM15" s="48"/>
      <c r="FN15" s="48"/>
      <c r="FO15" s="48"/>
      <c r="FP15" s="48"/>
      <c r="FQ15" s="48"/>
      <c r="FR15" s="48"/>
      <c r="FS15" s="48"/>
      <c r="FT15" s="48"/>
      <c r="FU15" s="48"/>
      <c r="FV15" s="48"/>
      <c r="FW15" s="48"/>
      <c r="FX15" s="48"/>
      <c r="FY15" s="48"/>
      <c r="FZ15" s="48"/>
      <c r="GA15" s="48"/>
      <c r="GB15" s="48"/>
      <c r="GC15" s="48"/>
      <c r="GD15" s="48"/>
      <c r="GE15" s="48"/>
      <c r="GF15" s="48"/>
      <c r="GG15" s="48"/>
      <c r="GH15" s="48"/>
      <c r="GI15" s="48"/>
      <c r="GJ15" s="48"/>
      <c r="GK15" s="48"/>
      <c r="GL15" s="48"/>
      <c r="GM15" s="48"/>
      <c r="GN15" s="48"/>
      <c r="GO15" s="48"/>
      <c r="GP15" s="48"/>
      <c r="GQ15" s="48"/>
      <c r="GR15" s="48"/>
      <c r="GS15" s="48"/>
      <c r="GT15" s="48"/>
      <c r="GU15" s="48"/>
      <c r="GV15" s="48"/>
      <c r="GW15" s="48"/>
      <c r="GX15" s="48"/>
      <c r="GY15" s="48"/>
      <c r="GZ15" s="48"/>
      <c r="HA15" s="48"/>
      <c r="HB15" s="48"/>
      <c r="HC15" s="48"/>
      <c r="HD15" s="48"/>
      <c r="HE15" s="48"/>
      <c r="HF15" s="48"/>
      <c r="HG15" s="48"/>
      <c r="HH15" s="48"/>
      <c r="HI15" s="48"/>
      <c r="HJ15" s="48"/>
      <c r="HK15" s="48"/>
      <c r="HL15" s="48"/>
      <c r="HM15" s="48"/>
      <c r="HN15" s="48"/>
      <c r="HO15" s="48"/>
      <c r="HP15" s="48"/>
      <c r="HQ15" s="48"/>
      <c r="HR15" s="48"/>
      <c r="HS15" s="48"/>
      <c r="HT15" s="48"/>
      <c r="HU15" s="48"/>
      <c r="HV15" s="48"/>
      <c r="HW15" s="48"/>
      <c r="HX15" s="48"/>
      <c r="HY15" s="48"/>
      <c r="HZ15" s="48"/>
      <c r="IA15" s="48"/>
      <c r="IB15" s="48"/>
      <c r="IC15" s="48"/>
      <c r="ID15" s="48"/>
      <c r="IE15" s="48"/>
      <c r="IF15" s="48"/>
      <c r="IG15" s="48"/>
      <c r="IH15" s="48"/>
      <c r="II15" s="48"/>
      <c r="IJ15" s="48"/>
      <c r="IK15" s="48"/>
      <c r="IL15" s="48"/>
      <c r="IM15" s="48"/>
      <c r="IN15" s="48"/>
      <c r="IO15" s="48"/>
      <c r="IP15" s="48"/>
      <c r="IQ15" s="48"/>
      <c r="IR15" s="48"/>
      <c r="IS15" s="48"/>
      <c r="IT15" s="48"/>
      <c r="IU15" s="48"/>
      <c r="IV15" s="48"/>
    </row>
    <row r="16" spans="2:256" ht="12.75" customHeight="1" x14ac:dyDescent="0.2">
      <c r="B16" s="93" t="str">
        <f>'2025'!AV3</f>
        <v>MARZO 2025</v>
      </c>
      <c r="C16" s="93"/>
      <c r="D16" s="93"/>
      <c r="E16" s="93"/>
      <c r="F16" s="93"/>
      <c r="G16" s="93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  <c r="BO16" s="48"/>
      <c r="BP16" s="48"/>
      <c r="BQ16" s="48"/>
      <c r="BR16" s="48"/>
      <c r="BS16" s="48"/>
      <c r="BT16" s="48"/>
      <c r="BU16" s="48"/>
      <c r="BV16" s="48"/>
      <c r="BW16" s="48"/>
      <c r="BX16" s="48"/>
      <c r="BY16" s="48"/>
      <c r="BZ16" s="48"/>
      <c r="CA16" s="48"/>
      <c r="CB16" s="48"/>
      <c r="CC16" s="48"/>
      <c r="CD16" s="48"/>
      <c r="CE16" s="48"/>
      <c r="CF16" s="48"/>
      <c r="CG16" s="48"/>
      <c r="CH16" s="48"/>
      <c r="CI16" s="48"/>
      <c r="CJ16" s="48"/>
      <c r="CK16" s="48"/>
      <c r="CL16" s="48"/>
      <c r="CM16" s="48"/>
      <c r="CN16" s="48"/>
      <c r="CO16" s="48"/>
      <c r="CP16" s="48"/>
      <c r="CQ16" s="48"/>
      <c r="CR16" s="48"/>
      <c r="CS16" s="48"/>
      <c r="CT16" s="48"/>
      <c r="CU16" s="48"/>
      <c r="CV16" s="48"/>
      <c r="CW16" s="48"/>
      <c r="CX16" s="48"/>
      <c r="CY16" s="48"/>
      <c r="CZ16" s="48"/>
      <c r="DA16" s="48"/>
      <c r="DB16" s="48"/>
      <c r="DC16" s="48"/>
      <c r="DD16" s="48"/>
      <c r="DE16" s="48"/>
      <c r="DF16" s="48"/>
      <c r="DG16" s="48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48"/>
      <c r="EA16" s="48"/>
      <c r="EB16" s="48"/>
      <c r="EC16" s="48"/>
      <c r="ED16" s="48"/>
      <c r="EE16" s="48"/>
      <c r="EF16" s="48"/>
      <c r="EG16" s="48"/>
      <c r="EH16" s="48"/>
      <c r="EI16" s="48"/>
      <c r="EJ16" s="48"/>
      <c r="EK16" s="48"/>
      <c r="EL16" s="48"/>
      <c r="EM16" s="48"/>
      <c r="EN16" s="48"/>
      <c r="EO16" s="48"/>
      <c r="EP16" s="48"/>
      <c r="EQ16" s="48"/>
      <c r="ER16" s="48"/>
      <c r="ES16" s="48"/>
      <c r="ET16" s="48"/>
      <c r="EU16" s="48"/>
      <c r="EV16" s="48"/>
      <c r="EW16" s="48"/>
      <c r="EX16" s="48"/>
      <c r="EY16" s="48"/>
      <c r="EZ16" s="48"/>
      <c r="FA16" s="48"/>
      <c r="FB16" s="48"/>
      <c r="FC16" s="48"/>
      <c r="FD16" s="48"/>
      <c r="FE16" s="48"/>
      <c r="FF16" s="48"/>
      <c r="FG16" s="48"/>
      <c r="FH16" s="48"/>
      <c r="FI16" s="48"/>
      <c r="FJ16" s="48"/>
      <c r="FK16" s="48"/>
      <c r="FL16" s="48"/>
      <c r="FM16" s="48"/>
      <c r="FN16" s="48"/>
      <c r="FO16" s="48"/>
      <c r="FP16" s="48"/>
      <c r="FQ16" s="48"/>
      <c r="FR16" s="48"/>
      <c r="FS16" s="48"/>
      <c r="FT16" s="48"/>
      <c r="FU16" s="48"/>
      <c r="FV16" s="48"/>
      <c r="FW16" s="48"/>
      <c r="FX16" s="48"/>
      <c r="FY16" s="48"/>
      <c r="FZ16" s="48"/>
      <c r="GA16" s="48"/>
      <c r="GB16" s="48"/>
      <c r="GC16" s="48"/>
      <c r="GD16" s="48"/>
      <c r="GE16" s="48"/>
      <c r="GF16" s="48"/>
      <c r="GG16" s="48"/>
      <c r="GH16" s="48"/>
      <c r="GI16" s="48"/>
      <c r="GJ16" s="48"/>
      <c r="GK16" s="48"/>
      <c r="GL16" s="48"/>
      <c r="GM16" s="48"/>
      <c r="GN16" s="48"/>
      <c r="GO16" s="48"/>
      <c r="GP16" s="48"/>
      <c r="GQ16" s="48"/>
      <c r="GR16" s="48"/>
      <c r="GS16" s="48"/>
      <c r="GT16" s="48"/>
      <c r="GU16" s="48"/>
      <c r="GV16" s="48"/>
      <c r="GW16" s="48"/>
      <c r="GX16" s="48"/>
      <c r="GY16" s="48"/>
      <c r="GZ16" s="48"/>
      <c r="HA16" s="48"/>
      <c r="HB16" s="48"/>
      <c r="HC16" s="48"/>
      <c r="HD16" s="48"/>
      <c r="HE16" s="48"/>
      <c r="HF16" s="48"/>
      <c r="HG16" s="48"/>
      <c r="HH16" s="48"/>
      <c r="HI16" s="48"/>
      <c r="HJ16" s="48"/>
      <c r="HK16" s="48"/>
      <c r="HL16" s="48"/>
      <c r="HM16" s="48"/>
      <c r="HN16" s="48"/>
      <c r="HO16" s="48"/>
      <c r="HP16" s="48"/>
      <c r="HQ16" s="48"/>
      <c r="HR16" s="48"/>
      <c r="HS16" s="48"/>
      <c r="HT16" s="48"/>
      <c r="HU16" s="48"/>
      <c r="HV16" s="48"/>
      <c r="HW16" s="48"/>
      <c r="HX16" s="48"/>
      <c r="HY16" s="48"/>
      <c r="HZ16" s="48"/>
      <c r="IA16" s="48"/>
      <c r="IB16" s="48"/>
      <c r="IC16" s="48"/>
      <c r="ID16" s="48"/>
      <c r="IE16" s="48"/>
      <c r="IF16" s="48"/>
      <c r="IG16" s="48"/>
      <c r="IH16" s="48"/>
      <c r="II16" s="48"/>
      <c r="IJ16" s="48"/>
      <c r="IK16" s="48"/>
      <c r="IL16" s="48"/>
      <c r="IM16" s="48"/>
      <c r="IN16" s="48"/>
      <c r="IO16" s="48"/>
      <c r="IP16" s="48"/>
      <c r="IQ16" s="48"/>
      <c r="IR16" s="48"/>
      <c r="IS16" s="48"/>
      <c r="IT16" s="48"/>
      <c r="IU16" s="48"/>
      <c r="IV16" s="48"/>
    </row>
    <row r="17" spans="2:256" ht="12.75" customHeight="1" x14ac:dyDescent="0.2">
      <c r="B17" s="93"/>
      <c r="C17" s="93"/>
      <c r="D17" s="93"/>
      <c r="E17" s="93"/>
      <c r="F17" s="93"/>
      <c r="G17" s="93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48"/>
      <c r="BZ17" s="48"/>
      <c r="CA17" s="48"/>
      <c r="CB17" s="48"/>
      <c r="CC17" s="48"/>
      <c r="CD17" s="48"/>
      <c r="CE17" s="48"/>
      <c r="CF17" s="48"/>
      <c r="CG17" s="48"/>
      <c r="CH17" s="48"/>
      <c r="CI17" s="48"/>
      <c r="CJ17" s="48"/>
      <c r="CK17" s="48"/>
      <c r="CL17" s="48"/>
      <c r="CM17" s="48"/>
      <c r="CN17" s="48"/>
      <c r="CO17" s="48"/>
      <c r="CP17" s="48"/>
      <c r="CQ17" s="48"/>
      <c r="CR17" s="48"/>
      <c r="CS17" s="48"/>
      <c r="CT17" s="48"/>
      <c r="CU17" s="48"/>
      <c r="CV17" s="48"/>
      <c r="CW17" s="48"/>
      <c r="CX17" s="48"/>
      <c r="CY17" s="48"/>
      <c r="CZ17" s="48"/>
      <c r="DA17" s="48"/>
      <c r="DB17" s="48"/>
      <c r="DC17" s="48"/>
      <c r="DD17" s="48"/>
      <c r="DE17" s="48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48"/>
      <c r="EA17" s="48"/>
      <c r="EB17" s="48"/>
      <c r="EC17" s="48"/>
      <c r="ED17" s="48"/>
      <c r="EE17" s="48"/>
      <c r="EF17" s="48"/>
      <c r="EG17" s="48"/>
      <c r="EH17" s="48"/>
      <c r="EI17" s="48"/>
      <c r="EJ17" s="48"/>
      <c r="EK17" s="48"/>
      <c r="EL17" s="48"/>
      <c r="EM17" s="48"/>
      <c r="EN17" s="48"/>
      <c r="EO17" s="48"/>
      <c r="EP17" s="48"/>
      <c r="EQ17" s="48"/>
      <c r="ER17" s="48"/>
      <c r="ES17" s="48"/>
      <c r="ET17" s="48"/>
      <c r="EU17" s="48"/>
      <c r="EV17" s="48"/>
      <c r="EW17" s="48"/>
      <c r="EX17" s="48"/>
      <c r="EY17" s="48"/>
      <c r="EZ17" s="48"/>
      <c r="FA17" s="48"/>
      <c r="FB17" s="48"/>
      <c r="FC17" s="48"/>
      <c r="FD17" s="48"/>
      <c r="FE17" s="48"/>
      <c r="FF17" s="48"/>
      <c r="FG17" s="48"/>
      <c r="FH17" s="48"/>
      <c r="FI17" s="48"/>
      <c r="FJ17" s="48"/>
      <c r="FK17" s="48"/>
      <c r="FL17" s="48"/>
      <c r="FM17" s="48"/>
      <c r="FN17" s="48"/>
      <c r="FO17" s="48"/>
      <c r="FP17" s="48"/>
      <c r="FQ17" s="48"/>
      <c r="FR17" s="48"/>
      <c r="FS17" s="48"/>
      <c r="FT17" s="48"/>
      <c r="FU17" s="48"/>
      <c r="FV17" s="48"/>
      <c r="FW17" s="48"/>
      <c r="FX17" s="48"/>
      <c r="FY17" s="48"/>
      <c r="FZ17" s="48"/>
      <c r="GA17" s="48"/>
      <c r="GB17" s="48"/>
      <c r="GC17" s="48"/>
      <c r="GD17" s="48"/>
      <c r="GE17" s="48"/>
      <c r="GF17" s="48"/>
      <c r="GG17" s="48"/>
      <c r="GH17" s="48"/>
      <c r="GI17" s="48"/>
      <c r="GJ17" s="48"/>
      <c r="GK17" s="48"/>
      <c r="GL17" s="48"/>
      <c r="GM17" s="48"/>
      <c r="GN17" s="48"/>
      <c r="GO17" s="48"/>
      <c r="GP17" s="48"/>
      <c r="GQ17" s="48"/>
      <c r="GR17" s="48"/>
      <c r="GS17" s="48"/>
      <c r="GT17" s="48"/>
      <c r="GU17" s="48"/>
      <c r="GV17" s="48"/>
      <c r="GW17" s="48"/>
      <c r="GX17" s="48"/>
      <c r="GY17" s="48"/>
      <c r="GZ17" s="48"/>
      <c r="HA17" s="48"/>
      <c r="HB17" s="48"/>
      <c r="HC17" s="48"/>
      <c r="HD17" s="48"/>
      <c r="HE17" s="48"/>
      <c r="HF17" s="48"/>
      <c r="HG17" s="48"/>
      <c r="HH17" s="48"/>
      <c r="HI17" s="48"/>
      <c r="HJ17" s="48"/>
      <c r="HK17" s="48"/>
      <c r="HL17" s="48"/>
      <c r="HM17" s="48"/>
      <c r="HN17" s="48"/>
      <c r="HO17" s="48"/>
      <c r="HP17" s="48"/>
      <c r="HQ17" s="48"/>
      <c r="HR17" s="48"/>
      <c r="HS17" s="48"/>
      <c r="HT17" s="48"/>
      <c r="HU17" s="48"/>
      <c r="HV17" s="48"/>
      <c r="HW17" s="48"/>
      <c r="HX17" s="48"/>
      <c r="HY17" s="48"/>
      <c r="HZ17" s="48"/>
      <c r="IA17" s="48"/>
      <c r="IB17" s="48"/>
      <c r="IC17" s="48"/>
      <c r="ID17" s="48"/>
      <c r="IE17" s="48"/>
      <c r="IF17" s="48"/>
      <c r="IG17" s="48"/>
      <c r="IH17" s="48"/>
      <c r="II17" s="48"/>
      <c r="IJ17" s="48"/>
      <c r="IK17" s="48"/>
      <c r="IL17" s="48"/>
      <c r="IM17" s="48"/>
      <c r="IN17" s="48"/>
      <c r="IO17" s="48"/>
      <c r="IP17" s="48"/>
      <c r="IQ17" s="48"/>
      <c r="IR17" s="48"/>
      <c r="IS17" s="48"/>
      <c r="IT17" s="48"/>
      <c r="IU17" s="48"/>
      <c r="IV17" s="48"/>
    </row>
    <row r="18" spans="2:256" ht="14.25" customHeight="1" x14ac:dyDescent="0.2">
      <c r="B18" s="93"/>
      <c r="C18" s="93"/>
      <c r="D18" s="93"/>
      <c r="E18" s="93"/>
      <c r="F18" s="93"/>
      <c r="G18" s="93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  <c r="CG18" s="48"/>
      <c r="CH18" s="48"/>
      <c r="CI18" s="48"/>
      <c r="CJ18" s="48"/>
      <c r="CK18" s="48"/>
      <c r="CL18" s="48"/>
      <c r="CM18" s="48"/>
      <c r="CN18" s="48"/>
      <c r="CO18" s="48"/>
      <c r="CP18" s="48"/>
      <c r="CQ18" s="48"/>
      <c r="CR18" s="48"/>
      <c r="CS18" s="48"/>
      <c r="CT18" s="48"/>
      <c r="CU18" s="48"/>
      <c r="CV18" s="48"/>
      <c r="CW18" s="48"/>
      <c r="CX18" s="48"/>
      <c r="CY18" s="48"/>
      <c r="CZ18" s="48"/>
      <c r="DA18" s="48"/>
      <c r="DB18" s="48"/>
      <c r="DC18" s="48"/>
      <c r="DD18" s="48"/>
      <c r="DE18" s="48"/>
      <c r="DF18" s="48"/>
      <c r="DG18" s="48"/>
      <c r="DH18" s="48"/>
      <c r="DI18" s="48"/>
      <c r="DJ18" s="48"/>
      <c r="DK18" s="48"/>
      <c r="DL18" s="48"/>
      <c r="DM18" s="48"/>
      <c r="DN18" s="48"/>
      <c r="DO18" s="48"/>
      <c r="DP18" s="48"/>
      <c r="DQ18" s="48"/>
      <c r="DR18" s="48"/>
      <c r="DS18" s="48"/>
      <c r="DT18" s="48"/>
      <c r="DU18" s="48"/>
      <c r="DV18" s="48"/>
      <c r="DW18" s="48"/>
      <c r="DX18" s="48"/>
      <c r="DY18" s="48"/>
      <c r="DZ18" s="48"/>
      <c r="EA18" s="48"/>
      <c r="EB18" s="48"/>
      <c r="EC18" s="48"/>
      <c r="ED18" s="48"/>
      <c r="EE18" s="48"/>
      <c r="EF18" s="48"/>
      <c r="EG18" s="48"/>
      <c r="EH18" s="48"/>
      <c r="EI18" s="48"/>
      <c r="EJ18" s="48"/>
      <c r="EK18" s="48"/>
      <c r="EL18" s="48"/>
      <c r="EM18" s="48"/>
      <c r="EN18" s="48"/>
      <c r="EO18" s="48"/>
      <c r="EP18" s="48"/>
      <c r="EQ18" s="48"/>
      <c r="ER18" s="48"/>
      <c r="ES18" s="48"/>
      <c r="ET18" s="48"/>
      <c r="EU18" s="48"/>
      <c r="EV18" s="48"/>
      <c r="EW18" s="48"/>
      <c r="EX18" s="48"/>
      <c r="EY18" s="48"/>
      <c r="EZ18" s="48"/>
      <c r="FA18" s="48"/>
      <c r="FB18" s="48"/>
      <c r="FC18" s="48"/>
      <c r="FD18" s="48"/>
      <c r="FE18" s="48"/>
      <c r="FF18" s="48"/>
      <c r="FG18" s="48"/>
      <c r="FH18" s="48"/>
      <c r="FI18" s="48"/>
      <c r="FJ18" s="48"/>
      <c r="FK18" s="48"/>
      <c r="FL18" s="48"/>
      <c r="FM18" s="48"/>
      <c r="FN18" s="48"/>
      <c r="FO18" s="48"/>
      <c r="FP18" s="48"/>
      <c r="FQ18" s="48"/>
      <c r="FR18" s="48"/>
      <c r="FS18" s="48"/>
      <c r="FT18" s="48"/>
      <c r="FU18" s="48"/>
      <c r="FV18" s="48"/>
      <c r="FW18" s="48"/>
      <c r="FX18" s="48"/>
      <c r="FY18" s="48"/>
      <c r="FZ18" s="48"/>
      <c r="GA18" s="48"/>
      <c r="GB18" s="48"/>
      <c r="GC18" s="48"/>
      <c r="GD18" s="48"/>
      <c r="GE18" s="48"/>
      <c r="GF18" s="48"/>
      <c r="GG18" s="48"/>
      <c r="GH18" s="48"/>
      <c r="GI18" s="48"/>
      <c r="GJ18" s="48"/>
      <c r="GK18" s="48"/>
      <c r="GL18" s="48"/>
      <c r="GM18" s="48"/>
      <c r="GN18" s="48"/>
      <c r="GO18" s="48"/>
      <c r="GP18" s="48"/>
      <c r="GQ18" s="48"/>
      <c r="GR18" s="48"/>
      <c r="GS18" s="48"/>
      <c r="GT18" s="48"/>
      <c r="GU18" s="48"/>
      <c r="GV18" s="48"/>
      <c r="GW18" s="48"/>
      <c r="GX18" s="48"/>
      <c r="GY18" s="48"/>
      <c r="GZ18" s="48"/>
      <c r="HA18" s="48"/>
      <c r="HB18" s="48"/>
      <c r="HC18" s="48"/>
      <c r="HD18" s="48"/>
      <c r="HE18" s="48"/>
      <c r="HF18" s="48"/>
      <c r="HG18" s="48"/>
      <c r="HH18" s="48"/>
      <c r="HI18" s="48"/>
      <c r="HJ18" s="48"/>
      <c r="HK18" s="48"/>
      <c r="HL18" s="48"/>
      <c r="HM18" s="48"/>
      <c r="HN18" s="48"/>
      <c r="HO18" s="48"/>
      <c r="HP18" s="48"/>
      <c r="HQ18" s="48"/>
      <c r="HR18" s="48"/>
      <c r="HS18" s="48"/>
      <c r="HT18" s="48"/>
      <c r="HU18" s="48"/>
      <c r="HV18" s="48"/>
      <c r="HW18" s="48"/>
      <c r="HX18" s="48"/>
      <c r="HY18" s="48"/>
      <c r="HZ18" s="48"/>
      <c r="IA18" s="48"/>
      <c r="IB18" s="48"/>
      <c r="IC18" s="48"/>
      <c r="ID18" s="48"/>
      <c r="IE18" s="48"/>
      <c r="IF18" s="48"/>
      <c r="IG18" s="48"/>
      <c r="IH18" s="48"/>
      <c r="II18" s="48"/>
      <c r="IJ18" s="48"/>
      <c r="IK18" s="48"/>
      <c r="IL18" s="48"/>
      <c r="IM18" s="48"/>
      <c r="IN18" s="48"/>
      <c r="IO18" s="48"/>
      <c r="IP18" s="48"/>
      <c r="IQ18" s="48"/>
      <c r="IR18" s="48"/>
      <c r="IS18" s="48"/>
      <c r="IT18" s="48"/>
      <c r="IU18" s="48"/>
      <c r="IV18" s="48"/>
    </row>
    <row r="19" spans="2:256" ht="14.25" x14ac:dyDescent="0.2">
      <c r="B19" s="52"/>
      <c r="C19" s="52"/>
      <c r="D19" s="52"/>
      <c r="E19" s="52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8"/>
      <c r="BP19" s="48"/>
      <c r="BQ19" s="48"/>
      <c r="BR19" s="48"/>
      <c r="BS19" s="48"/>
      <c r="BT19" s="48"/>
      <c r="BU19" s="48"/>
      <c r="BV19" s="48"/>
      <c r="BW19" s="48"/>
      <c r="BX19" s="48"/>
      <c r="BY19" s="48"/>
      <c r="BZ19" s="48"/>
      <c r="CA19" s="48"/>
      <c r="CB19" s="48"/>
      <c r="CC19" s="48"/>
      <c r="CD19" s="48"/>
      <c r="CE19" s="48"/>
      <c r="CF19" s="48"/>
      <c r="CG19" s="48"/>
      <c r="CH19" s="48"/>
      <c r="CI19" s="48"/>
      <c r="CJ19" s="48"/>
      <c r="CK19" s="48"/>
      <c r="CL19" s="48"/>
      <c r="CM19" s="48"/>
      <c r="CN19" s="48"/>
      <c r="CO19" s="48"/>
      <c r="CP19" s="48"/>
      <c r="CQ19" s="48"/>
      <c r="CR19" s="48"/>
      <c r="CS19" s="48"/>
      <c r="CT19" s="48"/>
      <c r="CU19" s="48"/>
      <c r="CV19" s="48"/>
      <c r="CW19" s="48"/>
      <c r="CX19" s="48"/>
      <c r="CY19" s="48"/>
      <c r="CZ19" s="48"/>
      <c r="DA19" s="48"/>
      <c r="DB19" s="48"/>
      <c r="DC19" s="48"/>
      <c r="DD19" s="48"/>
      <c r="DE19" s="48"/>
      <c r="DF19" s="48"/>
      <c r="DG19" s="48"/>
      <c r="DH19" s="48"/>
      <c r="DI19" s="48"/>
      <c r="DJ19" s="48"/>
      <c r="DK19" s="48"/>
      <c r="DL19" s="48"/>
      <c r="DM19" s="48"/>
      <c r="DN19" s="48"/>
      <c r="DO19" s="48"/>
      <c r="DP19" s="48"/>
      <c r="DQ19" s="48"/>
      <c r="DR19" s="48"/>
      <c r="DS19" s="48"/>
      <c r="DT19" s="48"/>
      <c r="DU19" s="48"/>
      <c r="DV19" s="48"/>
      <c r="DW19" s="48"/>
      <c r="DX19" s="48"/>
      <c r="DY19" s="48"/>
      <c r="DZ19" s="48"/>
      <c r="EA19" s="48"/>
      <c r="EB19" s="48"/>
      <c r="EC19" s="48"/>
      <c r="ED19" s="48"/>
      <c r="EE19" s="48"/>
      <c r="EF19" s="48"/>
      <c r="EG19" s="48"/>
      <c r="EH19" s="48"/>
      <c r="EI19" s="48"/>
      <c r="EJ19" s="48"/>
      <c r="EK19" s="48"/>
      <c r="EL19" s="48"/>
      <c r="EM19" s="48"/>
      <c r="EN19" s="48"/>
      <c r="EO19" s="48"/>
      <c r="EP19" s="48"/>
      <c r="EQ19" s="48"/>
      <c r="ER19" s="48"/>
      <c r="ES19" s="48"/>
      <c r="ET19" s="48"/>
      <c r="EU19" s="48"/>
      <c r="EV19" s="48"/>
      <c r="EW19" s="48"/>
      <c r="EX19" s="48"/>
      <c r="EY19" s="48"/>
      <c r="EZ19" s="48"/>
      <c r="FA19" s="48"/>
      <c r="FB19" s="48"/>
      <c r="FC19" s="48"/>
      <c r="FD19" s="48"/>
      <c r="FE19" s="48"/>
      <c r="FF19" s="48"/>
      <c r="FG19" s="48"/>
      <c r="FH19" s="48"/>
      <c r="FI19" s="48"/>
      <c r="FJ19" s="48"/>
      <c r="FK19" s="48"/>
      <c r="FL19" s="48"/>
      <c r="FM19" s="48"/>
      <c r="FN19" s="48"/>
      <c r="FO19" s="48"/>
      <c r="FP19" s="48"/>
      <c r="FQ19" s="48"/>
      <c r="FR19" s="48"/>
      <c r="FS19" s="48"/>
      <c r="FT19" s="48"/>
      <c r="FU19" s="48"/>
      <c r="FV19" s="48"/>
      <c r="FW19" s="48"/>
      <c r="FX19" s="48"/>
      <c r="FY19" s="48"/>
      <c r="FZ19" s="48"/>
      <c r="GA19" s="48"/>
      <c r="GB19" s="48"/>
      <c r="GC19" s="48"/>
      <c r="GD19" s="48"/>
      <c r="GE19" s="48"/>
      <c r="GF19" s="48"/>
      <c r="GG19" s="48"/>
      <c r="GH19" s="48"/>
      <c r="GI19" s="48"/>
      <c r="GJ19" s="48"/>
      <c r="GK19" s="48"/>
      <c r="GL19" s="48"/>
      <c r="GM19" s="48"/>
      <c r="GN19" s="48"/>
      <c r="GO19" s="48"/>
      <c r="GP19" s="48"/>
      <c r="GQ19" s="48"/>
      <c r="GR19" s="48"/>
      <c r="GS19" s="48"/>
      <c r="GT19" s="48"/>
      <c r="GU19" s="48"/>
      <c r="GV19" s="48"/>
      <c r="GW19" s="48"/>
      <c r="GX19" s="48"/>
      <c r="GY19" s="48"/>
      <c r="GZ19" s="48"/>
      <c r="HA19" s="48"/>
      <c r="HB19" s="48"/>
      <c r="HC19" s="48"/>
      <c r="HD19" s="48"/>
      <c r="HE19" s="48"/>
      <c r="HF19" s="48"/>
      <c r="HG19" s="48"/>
      <c r="HH19" s="48"/>
      <c r="HI19" s="48"/>
      <c r="HJ19" s="48"/>
      <c r="HK19" s="48"/>
      <c r="HL19" s="48"/>
      <c r="HM19" s="48"/>
      <c r="HN19" s="48"/>
      <c r="HO19" s="48"/>
      <c r="HP19" s="48"/>
      <c r="HQ19" s="48"/>
      <c r="HR19" s="48"/>
      <c r="HS19" s="48"/>
      <c r="HT19" s="48"/>
      <c r="HU19" s="48"/>
      <c r="HV19" s="48"/>
      <c r="HW19" s="48"/>
      <c r="HX19" s="48"/>
      <c r="HY19" s="48"/>
      <c r="HZ19" s="48"/>
      <c r="IA19" s="48"/>
      <c r="IB19" s="48"/>
      <c r="IC19" s="48"/>
      <c r="ID19" s="48"/>
      <c r="IE19" s="48"/>
      <c r="IF19" s="48"/>
      <c r="IG19" s="48"/>
      <c r="IH19" s="48"/>
      <c r="II19" s="48"/>
      <c r="IJ19" s="48"/>
      <c r="IK19" s="48"/>
      <c r="IL19" s="48"/>
      <c r="IM19" s="48"/>
      <c r="IN19" s="48"/>
      <c r="IO19" s="48"/>
      <c r="IP19" s="48"/>
      <c r="IQ19" s="48"/>
      <c r="IR19" s="48"/>
      <c r="IS19" s="48"/>
      <c r="IT19" s="48"/>
      <c r="IU19" s="48"/>
      <c r="IV19" s="48"/>
    </row>
    <row r="20" spans="2:256" ht="14.25" x14ac:dyDescent="0.2">
      <c r="B20" s="52"/>
      <c r="C20" s="52"/>
      <c r="D20" s="52"/>
      <c r="E20" s="52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8"/>
      <c r="CI20" s="48"/>
      <c r="CJ20" s="48"/>
      <c r="CK20" s="48"/>
      <c r="CL20" s="48"/>
      <c r="CM20" s="48"/>
      <c r="CN20" s="48"/>
      <c r="CO20" s="48"/>
      <c r="CP20" s="48"/>
      <c r="CQ20" s="48"/>
      <c r="CR20" s="48"/>
      <c r="CS20" s="48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  <c r="EY20" s="48"/>
      <c r="EZ20" s="48"/>
      <c r="FA20" s="48"/>
      <c r="FB20" s="48"/>
      <c r="FC20" s="48"/>
      <c r="FD20" s="48"/>
      <c r="FE20" s="48"/>
      <c r="FF20" s="48"/>
      <c r="FG20" s="48"/>
      <c r="FH20" s="48"/>
      <c r="FI20" s="48"/>
      <c r="FJ20" s="48"/>
      <c r="FK20" s="48"/>
      <c r="FL20" s="48"/>
      <c r="FM20" s="48"/>
      <c r="FN20" s="48"/>
      <c r="FO20" s="48"/>
      <c r="FP20" s="48"/>
      <c r="FQ20" s="48"/>
      <c r="FR20" s="48"/>
      <c r="FS20" s="48"/>
      <c r="FT20" s="48"/>
      <c r="FU20" s="48"/>
      <c r="FV20" s="48"/>
      <c r="FW20" s="48"/>
      <c r="FX20" s="48"/>
      <c r="FY20" s="48"/>
      <c r="FZ20" s="48"/>
      <c r="GA20" s="48"/>
      <c r="GB20" s="48"/>
      <c r="GC20" s="48"/>
      <c r="GD20" s="48"/>
      <c r="GE20" s="48"/>
      <c r="GF20" s="48"/>
      <c r="GG20" s="48"/>
      <c r="GH20" s="48"/>
      <c r="GI20" s="48"/>
      <c r="GJ20" s="48"/>
      <c r="GK20" s="48"/>
      <c r="GL20" s="48"/>
      <c r="GM20" s="48"/>
      <c r="GN20" s="48"/>
      <c r="GO20" s="48"/>
      <c r="GP20" s="48"/>
      <c r="GQ20" s="48"/>
      <c r="GR20" s="48"/>
      <c r="GS20" s="48"/>
      <c r="GT20" s="48"/>
      <c r="GU20" s="48"/>
      <c r="GV20" s="48"/>
      <c r="GW20" s="48"/>
      <c r="GX20" s="48"/>
      <c r="GY20" s="48"/>
      <c r="GZ20" s="48"/>
      <c r="HA20" s="48"/>
      <c r="HB20" s="48"/>
      <c r="HC20" s="48"/>
      <c r="HD20" s="48"/>
      <c r="HE20" s="48"/>
      <c r="HF20" s="48"/>
      <c r="HG20" s="48"/>
      <c r="HH20" s="48"/>
      <c r="HI20" s="48"/>
      <c r="HJ20" s="48"/>
      <c r="HK20" s="48"/>
      <c r="HL20" s="48"/>
      <c r="HM20" s="48"/>
      <c r="HN20" s="48"/>
      <c r="HO20" s="48"/>
      <c r="HP20" s="48"/>
      <c r="HQ20" s="48"/>
      <c r="HR20" s="48"/>
      <c r="HS20" s="48"/>
      <c r="HT20" s="48"/>
      <c r="HU20" s="48"/>
      <c r="HV20" s="48"/>
      <c r="HW20" s="48"/>
      <c r="HX20" s="48"/>
      <c r="HY20" s="48"/>
      <c r="HZ20" s="48"/>
      <c r="IA20" s="48"/>
      <c r="IB20" s="48"/>
      <c r="IC20" s="48"/>
      <c r="ID20" s="48"/>
      <c r="IE20" s="48"/>
      <c r="IF20" s="48"/>
      <c r="IG20" s="48"/>
      <c r="IH20" s="48"/>
      <c r="II20" s="48"/>
      <c r="IJ20" s="48"/>
      <c r="IK20" s="48"/>
      <c r="IL20" s="48"/>
      <c r="IM20" s="48"/>
      <c r="IN20" s="48"/>
      <c r="IO20" s="48"/>
      <c r="IP20" s="48"/>
      <c r="IQ20" s="48"/>
      <c r="IR20" s="48"/>
      <c r="IS20" s="48"/>
      <c r="IT20" s="48"/>
      <c r="IU20" s="48"/>
      <c r="IV20" s="48"/>
    </row>
    <row r="21" spans="2:256" ht="14.25" x14ac:dyDescent="0.2">
      <c r="B21" s="52"/>
      <c r="C21" s="52"/>
      <c r="D21" s="52"/>
      <c r="E21" s="52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  <c r="BX21" s="48"/>
      <c r="BY21" s="48"/>
      <c r="BZ21" s="48"/>
      <c r="CA21" s="48"/>
      <c r="CB21" s="48"/>
      <c r="CC21" s="48"/>
      <c r="CD21" s="48"/>
      <c r="CE21" s="48"/>
      <c r="CF21" s="48"/>
      <c r="CG21" s="48"/>
      <c r="CH21" s="48"/>
      <c r="CI21" s="48"/>
      <c r="CJ21" s="48"/>
      <c r="CK21" s="48"/>
      <c r="CL21" s="48"/>
      <c r="CM21" s="48"/>
      <c r="CN21" s="48"/>
      <c r="CO21" s="48"/>
      <c r="CP21" s="48"/>
      <c r="CQ21" s="48"/>
      <c r="CR21" s="48"/>
      <c r="CS21" s="48"/>
      <c r="CT21" s="48"/>
      <c r="CU21" s="48"/>
      <c r="CV21" s="48"/>
      <c r="CW21" s="48"/>
      <c r="CX21" s="48"/>
      <c r="CY21" s="48"/>
      <c r="CZ21" s="48"/>
      <c r="DA21" s="48"/>
      <c r="DB21" s="48"/>
      <c r="DC21" s="48"/>
      <c r="DD21" s="48"/>
      <c r="DE21" s="48"/>
      <c r="DF21" s="48"/>
      <c r="DG21" s="48"/>
      <c r="DH21" s="48"/>
      <c r="DI21" s="48"/>
      <c r="DJ21" s="48"/>
      <c r="DK21" s="48"/>
      <c r="DL21" s="48"/>
      <c r="DM21" s="48"/>
      <c r="DN21" s="48"/>
      <c r="DO21" s="48"/>
      <c r="DP21" s="48"/>
      <c r="DQ21" s="48"/>
      <c r="DR21" s="48"/>
      <c r="DS21" s="48"/>
      <c r="DT21" s="48"/>
      <c r="DU21" s="48"/>
      <c r="DV21" s="48"/>
      <c r="DW21" s="48"/>
      <c r="DX21" s="48"/>
      <c r="DY21" s="48"/>
      <c r="DZ21" s="48"/>
      <c r="EA21" s="48"/>
      <c r="EB21" s="48"/>
      <c r="EC21" s="48"/>
      <c r="ED21" s="48"/>
      <c r="EE21" s="48"/>
      <c r="EF21" s="48"/>
      <c r="EG21" s="48"/>
      <c r="EH21" s="48"/>
      <c r="EI21" s="48"/>
      <c r="EJ21" s="48"/>
      <c r="EK21" s="48"/>
      <c r="EL21" s="48"/>
      <c r="EM21" s="48"/>
      <c r="EN21" s="48"/>
      <c r="EO21" s="48"/>
      <c r="EP21" s="48"/>
      <c r="EQ21" s="48"/>
      <c r="ER21" s="48"/>
      <c r="ES21" s="48"/>
      <c r="ET21" s="48"/>
      <c r="EU21" s="48"/>
      <c r="EV21" s="48"/>
      <c r="EW21" s="48"/>
      <c r="EX21" s="48"/>
      <c r="EY21" s="48"/>
      <c r="EZ21" s="48"/>
      <c r="FA21" s="48"/>
      <c r="FB21" s="48"/>
      <c r="FC21" s="48"/>
      <c r="FD21" s="48"/>
      <c r="FE21" s="48"/>
      <c r="FF21" s="48"/>
      <c r="FG21" s="48"/>
      <c r="FH21" s="48"/>
      <c r="FI21" s="48"/>
      <c r="FJ21" s="48"/>
      <c r="FK21" s="48"/>
      <c r="FL21" s="48"/>
      <c r="FM21" s="48"/>
      <c r="FN21" s="48"/>
      <c r="FO21" s="48"/>
      <c r="FP21" s="48"/>
      <c r="FQ21" s="48"/>
      <c r="FR21" s="48"/>
      <c r="FS21" s="48"/>
      <c r="FT21" s="48"/>
      <c r="FU21" s="48"/>
      <c r="FV21" s="48"/>
      <c r="FW21" s="48"/>
      <c r="FX21" s="48"/>
      <c r="FY21" s="48"/>
      <c r="FZ21" s="48"/>
      <c r="GA21" s="48"/>
      <c r="GB21" s="48"/>
      <c r="GC21" s="48"/>
      <c r="GD21" s="48"/>
      <c r="GE21" s="48"/>
      <c r="GF21" s="48"/>
      <c r="GG21" s="48"/>
      <c r="GH21" s="48"/>
      <c r="GI21" s="48"/>
      <c r="GJ21" s="48"/>
      <c r="GK21" s="48"/>
      <c r="GL21" s="48"/>
      <c r="GM21" s="48"/>
      <c r="GN21" s="48"/>
      <c r="GO21" s="48"/>
      <c r="GP21" s="48"/>
      <c r="GQ21" s="48"/>
      <c r="GR21" s="48"/>
      <c r="GS21" s="48"/>
      <c r="GT21" s="48"/>
      <c r="GU21" s="48"/>
      <c r="GV21" s="48"/>
      <c r="GW21" s="48"/>
      <c r="GX21" s="48"/>
      <c r="GY21" s="48"/>
      <c r="GZ21" s="48"/>
      <c r="HA21" s="48"/>
      <c r="HB21" s="48"/>
      <c r="HC21" s="48"/>
      <c r="HD21" s="48"/>
      <c r="HE21" s="48"/>
      <c r="HF21" s="48"/>
      <c r="HG21" s="48"/>
      <c r="HH21" s="48"/>
      <c r="HI21" s="48"/>
      <c r="HJ21" s="48"/>
      <c r="HK21" s="48"/>
      <c r="HL21" s="48"/>
      <c r="HM21" s="48"/>
      <c r="HN21" s="48"/>
      <c r="HO21" s="48"/>
      <c r="HP21" s="48"/>
      <c r="HQ21" s="48"/>
      <c r="HR21" s="48"/>
      <c r="HS21" s="48"/>
      <c r="HT21" s="48"/>
      <c r="HU21" s="48"/>
      <c r="HV21" s="48"/>
      <c r="HW21" s="48"/>
      <c r="HX21" s="48"/>
      <c r="HY21" s="48"/>
      <c r="HZ21" s="48"/>
      <c r="IA21" s="48"/>
      <c r="IB21" s="48"/>
      <c r="IC21" s="48"/>
      <c r="ID21" s="48"/>
      <c r="IE21" s="48"/>
      <c r="IF21" s="48"/>
      <c r="IG21" s="48"/>
      <c r="IH21" s="48"/>
      <c r="II21" s="48"/>
      <c r="IJ21" s="48"/>
      <c r="IK21" s="48"/>
      <c r="IL21" s="48"/>
      <c r="IM21" s="48"/>
      <c r="IN21" s="48"/>
      <c r="IO21" s="48"/>
      <c r="IP21" s="48"/>
      <c r="IQ21" s="48"/>
      <c r="IR21" s="48"/>
      <c r="IS21" s="48"/>
      <c r="IT21" s="48"/>
      <c r="IU21" s="48"/>
      <c r="IV21" s="48"/>
    </row>
    <row r="22" spans="2:256" ht="14.25" x14ac:dyDescent="0.2">
      <c r="B22" s="52"/>
      <c r="C22" s="52"/>
      <c r="D22" s="52"/>
      <c r="E22" s="52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8"/>
      <c r="BU22" s="48"/>
      <c r="BV22" s="48"/>
      <c r="BW22" s="48"/>
      <c r="BX22" s="48"/>
      <c r="BY22" s="48"/>
      <c r="BZ22" s="48"/>
      <c r="CA22" s="48"/>
      <c r="CB22" s="48"/>
      <c r="CC22" s="48"/>
      <c r="CD22" s="48"/>
      <c r="CE22" s="48"/>
      <c r="CF22" s="48"/>
      <c r="CG22" s="48"/>
      <c r="CH22" s="48"/>
      <c r="CI22" s="48"/>
      <c r="CJ22" s="48"/>
      <c r="CK22" s="48"/>
      <c r="CL22" s="48"/>
      <c r="CM22" s="48"/>
      <c r="CN22" s="48"/>
      <c r="CO22" s="48"/>
      <c r="CP22" s="48"/>
      <c r="CQ22" s="48"/>
      <c r="CR22" s="48"/>
      <c r="CS22" s="48"/>
      <c r="CT22" s="48"/>
      <c r="CU22" s="48"/>
      <c r="CV22" s="48"/>
      <c r="CW22" s="48"/>
      <c r="CX22" s="48"/>
      <c r="CY22" s="48"/>
      <c r="CZ22" s="48"/>
      <c r="DA22" s="48"/>
      <c r="DB22" s="48"/>
      <c r="DC22" s="48"/>
      <c r="DD22" s="48"/>
      <c r="DE22" s="48"/>
      <c r="DF22" s="48"/>
      <c r="DG22" s="48"/>
      <c r="DH22" s="48"/>
      <c r="DI22" s="48"/>
      <c r="DJ22" s="48"/>
      <c r="DK22" s="48"/>
      <c r="DL22" s="48"/>
      <c r="DM22" s="48"/>
      <c r="DN22" s="48"/>
      <c r="DO22" s="48"/>
      <c r="DP22" s="48"/>
      <c r="DQ22" s="48"/>
      <c r="DR22" s="48"/>
      <c r="DS22" s="48"/>
      <c r="DT22" s="48"/>
      <c r="DU22" s="48"/>
      <c r="DV22" s="48"/>
      <c r="DW22" s="48"/>
      <c r="DX22" s="48"/>
      <c r="DY22" s="48"/>
      <c r="DZ22" s="48"/>
      <c r="EA22" s="48"/>
      <c r="EB22" s="48"/>
      <c r="EC22" s="48"/>
      <c r="ED22" s="48"/>
      <c r="EE22" s="48"/>
      <c r="EF22" s="48"/>
      <c r="EG22" s="48"/>
      <c r="EH22" s="48"/>
      <c r="EI22" s="48"/>
      <c r="EJ22" s="48"/>
      <c r="EK22" s="48"/>
      <c r="EL22" s="48"/>
      <c r="EM22" s="48"/>
      <c r="EN22" s="48"/>
      <c r="EO22" s="48"/>
      <c r="EP22" s="48"/>
      <c r="EQ22" s="48"/>
      <c r="ER22" s="48"/>
      <c r="ES22" s="48"/>
      <c r="ET22" s="48"/>
      <c r="EU22" s="48"/>
      <c r="EV22" s="48"/>
      <c r="EW22" s="48"/>
      <c r="EX22" s="48"/>
      <c r="EY22" s="48"/>
      <c r="EZ22" s="48"/>
      <c r="FA22" s="48"/>
      <c r="FB22" s="48"/>
      <c r="FC22" s="48"/>
      <c r="FD22" s="48"/>
      <c r="FE22" s="48"/>
      <c r="FF22" s="48"/>
      <c r="FG22" s="48"/>
      <c r="FH22" s="48"/>
      <c r="FI22" s="48"/>
      <c r="FJ22" s="48"/>
      <c r="FK22" s="48"/>
      <c r="FL22" s="48"/>
      <c r="FM22" s="48"/>
      <c r="FN22" s="48"/>
      <c r="FO22" s="48"/>
      <c r="FP22" s="48"/>
      <c r="FQ22" s="48"/>
      <c r="FR22" s="48"/>
      <c r="FS22" s="48"/>
      <c r="FT22" s="48"/>
      <c r="FU22" s="48"/>
      <c r="FV22" s="48"/>
      <c r="FW22" s="48"/>
      <c r="FX22" s="48"/>
      <c r="FY22" s="48"/>
      <c r="FZ22" s="48"/>
      <c r="GA22" s="48"/>
      <c r="GB22" s="48"/>
      <c r="GC22" s="48"/>
      <c r="GD22" s="48"/>
      <c r="GE22" s="48"/>
      <c r="GF22" s="48"/>
      <c r="GG22" s="48"/>
      <c r="GH22" s="48"/>
      <c r="GI22" s="48"/>
      <c r="GJ22" s="48"/>
      <c r="GK22" s="48"/>
      <c r="GL22" s="48"/>
      <c r="GM22" s="48"/>
      <c r="GN22" s="48"/>
      <c r="GO22" s="48"/>
      <c r="GP22" s="48"/>
      <c r="GQ22" s="48"/>
      <c r="GR22" s="48"/>
      <c r="GS22" s="48"/>
      <c r="GT22" s="48"/>
      <c r="GU22" s="48"/>
      <c r="GV22" s="48"/>
      <c r="GW22" s="48"/>
      <c r="GX22" s="48"/>
      <c r="GY22" s="48"/>
      <c r="GZ22" s="48"/>
      <c r="HA22" s="48"/>
      <c r="HB22" s="48"/>
      <c r="HC22" s="48"/>
      <c r="HD22" s="48"/>
      <c r="HE22" s="48"/>
      <c r="HF22" s="48"/>
      <c r="HG22" s="48"/>
      <c r="HH22" s="48"/>
      <c r="HI22" s="48"/>
      <c r="HJ22" s="48"/>
      <c r="HK22" s="48"/>
      <c r="HL22" s="48"/>
      <c r="HM22" s="48"/>
      <c r="HN22" s="48"/>
      <c r="HO22" s="48"/>
      <c r="HP22" s="48"/>
      <c r="HQ22" s="48"/>
      <c r="HR22" s="48"/>
      <c r="HS22" s="48"/>
      <c r="HT22" s="48"/>
      <c r="HU22" s="48"/>
      <c r="HV22" s="48"/>
      <c r="HW22" s="48"/>
      <c r="HX22" s="48"/>
      <c r="HY22" s="48"/>
      <c r="HZ22" s="48"/>
      <c r="IA22" s="48"/>
      <c r="IB22" s="48"/>
      <c r="IC22" s="48"/>
      <c r="ID22" s="48"/>
      <c r="IE22" s="48"/>
      <c r="IF22" s="48"/>
      <c r="IG22" s="48"/>
      <c r="IH22" s="48"/>
      <c r="II22" s="48"/>
      <c r="IJ22" s="48"/>
      <c r="IK22" s="48"/>
      <c r="IL22" s="48"/>
      <c r="IM22" s="48"/>
      <c r="IN22" s="48"/>
      <c r="IO22" s="48"/>
      <c r="IP22" s="48"/>
      <c r="IQ22" s="48"/>
      <c r="IR22" s="48"/>
      <c r="IS22" s="48"/>
      <c r="IT22" s="48"/>
      <c r="IU22" s="48"/>
      <c r="IV22" s="48"/>
    </row>
    <row r="23" spans="2:256" ht="14.25" x14ac:dyDescent="0.2">
      <c r="B23" s="52"/>
      <c r="C23" s="52"/>
      <c r="D23" s="52"/>
      <c r="E23" s="52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8"/>
      <c r="BU23" s="48"/>
      <c r="BV23" s="48"/>
      <c r="BW23" s="48"/>
      <c r="BX23" s="48"/>
      <c r="BY23" s="48"/>
      <c r="BZ23" s="48"/>
      <c r="CA23" s="48"/>
      <c r="CB23" s="48"/>
      <c r="CC23" s="48"/>
      <c r="CD23" s="48"/>
      <c r="CE23" s="48"/>
      <c r="CF23" s="48"/>
      <c r="CG23" s="48"/>
      <c r="CH23" s="48"/>
      <c r="CI23" s="48"/>
      <c r="CJ23" s="48"/>
      <c r="CK23" s="48"/>
      <c r="CL23" s="48"/>
      <c r="CM23" s="48"/>
      <c r="CN23" s="48"/>
      <c r="CO23" s="48"/>
      <c r="CP23" s="48"/>
      <c r="CQ23" s="48"/>
      <c r="CR23" s="48"/>
      <c r="CS23" s="48"/>
      <c r="CT23" s="48"/>
      <c r="CU23" s="48"/>
      <c r="CV23" s="48"/>
      <c r="CW23" s="48"/>
      <c r="CX23" s="48"/>
      <c r="CY23" s="48"/>
      <c r="CZ23" s="48"/>
      <c r="DA23" s="48"/>
      <c r="DB23" s="48"/>
      <c r="DC23" s="48"/>
      <c r="DD23" s="48"/>
      <c r="DE23" s="48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48"/>
      <c r="DR23" s="48"/>
      <c r="DS23" s="48"/>
      <c r="DT23" s="48"/>
      <c r="DU23" s="48"/>
      <c r="DV23" s="48"/>
      <c r="DW23" s="48"/>
      <c r="DX23" s="48"/>
      <c r="DY23" s="48"/>
      <c r="DZ23" s="48"/>
      <c r="EA23" s="48"/>
      <c r="EB23" s="48"/>
      <c r="EC23" s="48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48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48"/>
      <c r="FB23" s="48"/>
      <c r="FC23" s="48"/>
      <c r="FD23" s="48"/>
      <c r="FE23" s="48"/>
      <c r="FF23" s="48"/>
      <c r="FG23" s="48"/>
      <c r="FH23" s="48"/>
      <c r="FI23" s="48"/>
      <c r="FJ23" s="48"/>
      <c r="FK23" s="48"/>
      <c r="FL23" s="48"/>
      <c r="FM23" s="48"/>
      <c r="FN23" s="48"/>
      <c r="FO23" s="48"/>
      <c r="FP23" s="48"/>
      <c r="FQ23" s="48"/>
      <c r="FR23" s="48"/>
      <c r="FS23" s="48"/>
      <c r="FT23" s="48"/>
      <c r="FU23" s="48"/>
      <c r="FV23" s="48"/>
      <c r="FW23" s="48"/>
      <c r="FX23" s="48"/>
      <c r="FY23" s="48"/>
      <c r="FZ23" s="48"/>
      <c r="GA23" s="48"/>
      <c r="GB23" s="48"/>
      <c r="GC23" s="48"/>
      <c r="GD23" s="48"/>
      <c r="GE23" s="48"/>
      <c r="GF23" s="48"/>
      <c r="GG23" s="48"/>
      <c r="GH23" s="48"/>
      <c r="GI23" s="48"/>
      <c r="GJ23" s="48"/>
      <c r="GK23" s="48"/>
      <c r="GL23" s="48"/>
      <c r="GM23" s="48"/>
      <c r="GN23" s="48"/>
      <c r="GO23" s="48"/>
      <c r="GP23" s="48"/>
      <c r="GQ23" s="48"/>
      <c r="GR23" s="48"/>
      <c r="GS23" s="48"/>
      <c r="GT23" s="48"/>
      <c r="GU23" s="48"/>
      <c r="GV23" s="48"/>
      <c r="GW23" s="48"/>
      <c r="GX23" s="48"/>
      <c r="GY23" s="48"/>
      <c r="GZ23" s="48"/>
      <c r="HA23" s="48"/>
      <c r="HB23" s="48"/>
      <c r="HC23" s="48"/>
      <c r="HD23" s="48"/>
      <c r="HE23" s="48"/>
      <c r="HF23" s="48"/>
      <c r="HG23" s="48"/>
      <c r="HH23" s="48"/>
      <c r="HI23" s="48"/>
      <c r="HJ23" s="48"/>
      <c r="HK23" s="48"/>
      <c r="HL23" s="48"/>
      <c r="HM23" s="48"/>
      <c r="HN23" s="48"/>
      <c r="HO23" s="48"/>
      <c r="HP23" s="48"/>
      <c r="HQ23" s="48"/>
      <c r="HR23" s="48"/>
      <c r="HS23" s="48"/>
      <c r="HT23" s="48"/>
      <c r="HU23" s="48"/>
      <c r="HV23" s="48"/>
      <c r="HW23" s="48"/>
      <c r="HX23" s="48"/>
      <c r="HY23" s="48"/>
      <c r="HZ23" s="48"/>
      <c r="IA23" s="48"/>
      <c r="IB23" s="48"/>
      <c r="IC23" s="48"/>
      <c r="ID23" s="48"/>
      <c r="IE23" s="48"/>
      <c r="IF23" s="48"/>
      <c r="IG23" s="48"/>
      <c r="IH23" s="48"/>
      <c r="II23" s="48"/>
      <c r="IJ23" s="48"/>
      <c r="IK23" s="48"/>
      <c r="IL23" s="48"/>
      <c r="IM23" s="48"/>
      <c r="IN23" s="48"/>
      <c r="IO23" s="48"/>
      <c r="IP23" s="48"/>
      <c r="IQ23" s="48"/>
      <c r="IR23" s="48"/>
      <c r="IS23" s="48"/>
      <c r="IT23" s="48"/>
      <c r="IU23" s="48"/>
      <c r="IV23" s="48"/>
    </row>
    <row r="24" spans="2:256" ht="14.25" x14ac:dyDescent="0.2">
      <c r="B24" s="52"/>
      <c r="C24" s="52"/>
      <c r="D24" s="52"/>
      <c r="E24" s="52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48"/>
      <c r="BB24" s="48"/>
      <c r="BC24" s="48"/>
      <c r="BD24" s="48"/>
      <c r="BE24" s="48"/>
      <c r="BF24" s="48"/>
      <c r="BG24" s="48"/>
      <c r="BH24" s="48"/>
      <c r="BI24" s="48"/>
      <c r="BJ24" s="48"/>
      <c r="BK24" s="48"/>
      <c r="BL24" s="48"/>
      <c r="BM24" s="48"/>
      <c r="BN24" s="48"/>
      <c r="BO24" s="48"/>
      <c r="BP24" s="48"/>
      <c r="BQ24" s="48"/>
      <c r="BR24" s="48"/>
      <c r="BS24" s="48"/>
      <c r="BT24" s="48"/>
      <c r="BU24" s="48"/>
      <c r="BV24" s="48"/>
      <c r="BW24" s="48"/>
      <c r="BX24" s="48"/>
      <c r="BY24" s="48"/>
      <c r="BZ24" s="48"/>
      <c r="CA24" s="48"/>
      <c r="CB24" s="48"/>
      <c r="CC24" s="48"/>
      <c r="CD24" s="48"/>
      <c r="CE24" s="48"/>
      <c r="CF24" s="48"/>
      <c r="CG24" s="48"/>
      <c r="CH24" s="48"/>
      <c r="CI24" s="48"/>
      <c r="CJ24" s="48"/>
      <c r="CK24" s="48"/>
      <c r="CL24" s="48"/>
      <c r="CM24" s="48"/>
      <c r="CN24" s="48"/>
      <c r="CO24" s="48"/>
      <c r="CP24" s="48"/>
      <c r="CQ24" s="48"/>
      <c r="CR24" s="48"/>
      <c r="CS24" s="48"/>
      <c r="CT24" s="48"/>
      <c r="CU24" s="48"/>
      <c r="CV24" s="48"/>
      <c r="CW24" s="48"/>
      <c r="CX24" s="48"/>
      <c r="CY24" s="48"/>
      <c r="CZ24" s="48"/>
      <c r="DA24" s="48"/>
      <c r="DB24" s="48"/>
      <c r="DC24" s="48"/>
      <c r="DD24" s="48"/>
      <c r="DE24" s="48"/>
      <c r="DF24" s="48"/>
      <c r="DG24" s="48"/>
      <c r="DH24" s="48"/>
      <c r="DI24" s="48"/>
      <c r="DJ24" s="48"/>
      <c r="DK24" s="48"/>
      <c r="DL24" s="48"/>
      <c r="DM24" s="48"/>
      <c r="DN24" s="48"/>
      <c r="DO24" s="48"/>
      <c r="DP24" s="48"/>
      <c r="DQ24" s="48"/>
      <c r="DR24" s="48"/>
      <c r="DS24" s="48"/>
      <c r="DT24" s="48"/>
      <c r="DU24" s="48"/>
      <c r="DV24" s="48"/>
      <c r="DW24" s="48"/>
      <c r="DX24" s="48"/>
      <c r="DY24" s="48"/>
      <c r="DZ24" s="48"/>
      <c r="EA24" s="48"/>
      <c r="EB24" s="48"/>
      <c r="EC24" s="48"/>
      <c r="ED24" s="48"/>
      <c r="EE24" s="48"/>
      <c r="EF24" s="48"/>
      <c r="EG24" s="48"/>
      <c r="EH24" s="48"/>
      <c r="EI24" s="48"/>
      <c r="EJ24" s="48"/>
      <c r="EK24" s="48"/>
      <c r="EL24" s="48"/>
      <c r="EM24" s="48"/>
      <c r="EN24" s="48"/>
      <c r="EO24" s="48"/>
      <c r="EP24" s="48"/>
      <c r="EQ24" s="48"/>
      <c r="ER24" s="48"/>
      <c r="ES24" s="48"/>
      <c r="ET24" s="48"/>
      <c r="EU24" s="48"/>
      <c r="EV24" s="48"/>
      <c r="EW24" s="48"/>
      <c r="EX24" s="48"/>
      <c r="EY24" s="48"/>
      <c r="EZ24" s="48"/>
      <c r="FA24" s="48"/>
      <c r="FB24" s="48"/>
      <c r="FC24" s="48"/>
      <c r="FD24" s="48"/>
      <c r="FE24" s="48"/>
      <c r="FF24" s="48"/>
      <c r="FG24" s="48"/>
      <c r="FH24" s="48"/>
      <c r="FI24" s="48"/>
      <c r="FJ24" s="48"/>
      <c r="FK24" s="48"/>
      <c r="FL24" s="48"/>
      <c r="FM24" s="48"/>
      <c r="FN24" s="48"/>
      <c r="FO24" s="48"/>
      <c r="FP24" s="48"/>
      <c r="FQ24" s="48"/>
      <c r="FR24" s="48"/>
      <c r="FS24" s="48"/>
      <c r="FT24" s="48"/>
      <c r="FU24" s="48"/>
      <c r="FV24" s="48"/>
      <c r="FW24" s="48"/>
      <c r="FX24" s="48"/>
      <c r="FY24" s="48"/>
      <c r="FZ24" s="48"/>
      <c r="GA24" s="48"/>
      <c r="GB24" s="48"/>
      <c r="GC24" s="48"/>
      <c r="GD24" s="48"/>
      <c r="GE24" s="48"/>
      <c r="GF24" s="48"/>
      <c r="GG24" s="48"/>
      <c r="GH24" s="48"/>
      <c r="GI24" s="48"/>
      <c r="GJ24" s="48"/>
      <c r="GK24" s="48"/>
      <c r="GL24" s="48"/>
      <c r="GM24" s="48"/>
      <c r="GN24" s="48"/>
      <c r="GO24" s="48"/>
      <c r="GP24" s="48"/>
      <c r="GQ24" s="48"/>
      <c r="GR24" s="48"/>
      <c r="GS24" s="48"/>
      <c r="GT24" s="48"/>
      <c r="GU24" s="48"/>
      <c r="GV24" s="48"/>
      <c r="GW24" s="48"/>
      <c r="GX24" s="48"/>
      <c r="GY24" s="48"/>
      <c r="GZ24" s="48"/>
      <c r="HA24" s="48"/>
      <c r="HB24" s="48"/>
      <c r="HC24" s="48"/>
      <c r="HD24" s="48"/>
      <c r="HE24" s="48"/>
      <c r="HF24" s="48"/>
      <c r="HG24" s="48"/>
      <c r="HH24" s="48"/>
      <c r="HI24" s="48"/>
      <c r="HJ24" s="48"/>
      <c r="HK24" s="48"/>
      <c r="HL24" s="48"/>
      <c r="HM24" s="48"/>
      <c r="HN24" s="48"/>
      <c r="HO24" s="48"/>
      <c r="HP24" s="48"/>
      <c r="HQ24" s="48"/>
      <c r="HR24" s="48"/>
      <c r="HS24" s="48"/>
      <c r="HT24" s="48"/>
      <c r="HU24" s="48"/>
      <c r="HV24" s="48"/>
      <c r="HW24" s="48"/>
      <c r="HX24" s="48"/>
      <c r="HY24" s="48"/>
      <c r="HZ24" s="48"/>
      <c r="IA24" s="48"/>
      <c r="IB24" s="48"/>
      <c r="IC24" s="48"/>
      <c r="ID24" s="48"/>
      <c r="IE24" s="48"/>
      <c r="IF24" s="48"/>
      <c r="IG24" s="48"/>
      <c r="IH24" s="48"/>
      <c r="II24" s="48"/>
      <c r="IJ24" s="48"/>
      <c r="IK24" s="48"/>
      <c r="IL24" s="48"/>
      <c r="IM24" s="48"/>
      <c r="IN24" s="48"/>
      <c r="IO24" s="48"/>
      <c r="IP24" s="48"/>
      <c r="IQ24" s="48"/>
      <c r="IR24" s="48"/>
      <c r="IS24" s="48"/>
      <c r="IT24" s="48"/>
      <c r="IU24" s="48"/>
      <c r="IV24" s="48"/>
    </row>
    <row r="25" spans="2:256" ht="14.25" x14ac:dyDescent="0.2">
      <c r="B25" s="52"/>
      <c r="C25" s="52"/>
      <c r="D25" s="52"/>
      <c r="E25" s="52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  <c r="BI25" s="48"/>
      <c r="BJ25" s="48"/>
      <c r="BK25" s="48"/>
      <c r="BL25" s="48"/>
      <c r="BM25" s="48"/>
      <c r="BN25" s="48"/>
      <c r="BO25" s="48"/>
      <c r="BP25" s="48"/>
      <c r="BQ25" s="48"/>
      <c r="BR25" s="48"/>
      <c r="BS25" s="48"/>
      <c r="BT25" s="48"/>
      <c r="BU25" s="48"/>
      <c r="BV25" s="48"/>
      <c r="BW25" s="48"/>
      <c r="BX25" s="48"/>
      <c r="BY25" s="48"/>
      <c r="BZ25" s="48"/>
      <c r="CA25" s="48"/>
      <c r="CB25" s="48"/>
      <c r="CC25" s="48"/>
      <c r="CD25" s="48"/>
      <c r="CE25" s="48"/>
      <c r="CF25" s="48"/>
      <c r="CG25" s="48"/>
      <c r="CH25" s="48"/>
      <c r="CI25" s="48"/>
      <c r="CJ25" s="48"/>
      <c r="CK25" s="48"/>
      <c r="CL25" s="48"/>
      <c r="CM25" s="48"/>
      <c r="CN25" s="48"/>
      <c r="CO25" s="48"/>
      <c r="CP25" s="48"/>
      <c r="CQ25" s="48"/>
      <c r="CR25" s="48"/>
      <c r="CS25" s="48"/>
      <c r="CT25" s="48"/>
      <c r="CU25" s="48"/>
      <c r="CV25" s="48"/>
      <c r="CW25" s="48"/>
      <c r="CX25" s="48"/>
      <c r="CY25" s="48"/>
      <c r="CZ25" s="48"/>
      <c r="DA25" s="48"/>
      <c r="DB25" s="48"/>
      <c r="DC25" s="48"/>
      <c r="DD25" s="48"/>
      <c r="DE25" s="48"/>
      <c r="DF25" s="48"/>
      <c r="DG25" s="48"/>
      <c r="DH25" s="48"/>
      <c r="DI25" s="48"/>
      <c r="DJ25" s="48"/>
      <c r="DK25" s="48"/>
      <c r="DL25" s="48"/>
      <c r="DM25" s="48"/>
      <c r="DN25" s="48"/>
      <c r="DO25" s="48"/>
      <c r="DP25" s="48"/>
      <c r="DQ25" s="48"/>
      <c r="DR25" s="48"/>
      <c r="DS25" s="48"/>
      <c r="DT25" s="48"/>
      <c r="DU25" s="48"/>
      <c r="DV25" s="48"/>
      <c r="DW25" s="48"/>
      <c r="DX25" s="48"/>
      <c r="DY25" s="48"/>
      <c r="DZ25" s="48"/>
      <c r="EA25" s="48"/>
      <c r="EB25" s="48"/>
      <c r="EC25" s="48"/>
      <c r="ED25" s="48"/>
      <c r="EE25" s="48"/>
      <c r="EF25" s="48"/>
      <c r="EG25" s="48"/>
      <c r="EH25" s="48"/>
      <c r="EI25" s="48"/>
      <c r="EJ25" s="48"/>
      <c r="EK25" s="48"/>
      <c r="EL25" s="48"/>
      <c r="EM25" s="48"/>
      <c r="EN25" s="48"/>
      <c r="EO25" s="48"/>
      <c r="EP25" s="48"/>
      <c r="EQ25" s="48"/>
      <c r="ER25" s="48"/>
      <c r="ES25" s="48"/>
      <c r="ET25" s="48"/>
      <c r="EU25" s="48"/>
      <c r="EV25" s="48"/>
      <c r="EW25" s="48"/>
      <c r="EX25" s="48"/>
      <c r="EY25" s="48"/>
      <c r="EZ25" s="48"/>
      <c r="FA25" s="48"/>
      <c r="FB25" s="48"/>
      <c r="FC25" s="48"/>
      <c r="FD25" s="48"/>
      <c r="FE25" s="48"/>
      <c r="FF25" s="48"/>
      <c r="FG25" s="48"/>
      <c r="FH25" s="48"/>
      <c r="FI25" s="48"/>
      <c r="FJ25" s="48"/>
      <c r="FK25" s="48"/>
      <c r="FL25" s="48"/>
      <c r="FM25" s="48"/>
      <c r="FN25" s="48"/>
      <c r="FO25" s="48"/>
      <c r="FP25" s="48"/>
      <c r="FQ25" s="48"/>
      <c r="FR25" s="48"/>
      <c r="FS25" s="48"/>
      <c r="FT25" s="48"/>
      <c r="FU25" s="48"/>
      <c r="FV25" s="48"/>
      <c r="FW25" s="48"/>
      <c r="FX25" s="48"/>
      <c r="FY25" s="48"/>
      <c r="FZ25" s="48"/>
      <c r="GA25" s="48"/>
      <c r="GB25" s="48"/>
      <c r="GC25" s="48"/>
      <c r="GD25" s="48"/>
      <c r="GE25" s="48"/>
      <c r="GF25" s="48"/>
      <c r="GG25" s="48"/>
      <c r="GH25" s="48"/>
      <c r="GI25" s="48"/>
      <c r="GJ25" s="48"/>
      <c r="GK25" s="48"/>
      <c r="GL25" s="48"/>
      <c r="GM25" s="48"/>
      <c r="GN25" s="48"/>
      <c r="GO25" s="48"/>
      <c r="GP25" s="48"/>
      <c r="GQ25" s="48"/>
      <c r="GR25" s="48"/>
      <c r="GS25" s="48"/>
      <c r="GT25" s="48"/>
      <c r="GU25" s="48"/>
      <c r="GV25" s="48"/>
      <c r="GW25" s="48"/>
      <c r="GX25" s="48"/>
      <c r="GY25" s="48"/>
      <c r="GZ25" s="48"/>
      <c r="HA25" s="48"/>
      <c r="HB25" s="48"/>
      <c r="HC25" s="48"/>
      <c r="HD25" s="48"/>
      <c r="HE25" s="48"/>
      <c r="HF25" s="48"/>
      <c r="HG25" s="48"/>
      <c r="HH25" s="48"/>
      <c r="HI25" s="48"/>
      <c r="HJ25" s="48"/>
      <c r="HK25" s="48"/>
      <c r="HL25" s="48"/>
      <c r="HM25" s="48"/>
      <c r="HN25" s="48"/>
      <c r="HO25" s="48"/>
      <c r="HP25" s="48"/>
      <c r="HQ25" s="48"/>
      <c r="HR25" s="48"/>
      <c r="HS25" s="48"/>
      <c r="HT25" s="48"/>
      <c r="HU25" s="48"/>
      <c r="HV25" s="48"/>
      <c r="HW25" s="48"/>
      <c r="HX25" s="48"/>
      <c r="HY25" s="48"/>
      <c r="HZ25" s="48"/>
      <c r="IA25" s="48"/>
      <c r="IB25" s="48"/>
      <c r="IC25" s="48"/>
      <c r="ID25" s="48"/>
      <c r="IE25" s="48"/>
      <c r="IF25" s="48"/>
      <c r="IG25" s="48"/>
      <c r="IH25" s="48"/>
      <c r="II25" s="48"/>
      <c r="IJ25" s="48"/>
      <c r="IK25" s="48"/>
      <c r="IL25" s="48"/>
      <c r="IM25" s="48"/>
      <c r="IN25" s="48"/>
      <c r="IO25" s="48"/>
      <c r="IP25" s="48"/>
      <c r="IQ25" s="48"/>
      <c r="IR25" s="48"/>
      <c r="IS25" s="48"/>
      <c r="IT25" s="48"/>
      <c r="IU25" s="48"/>
      <c r="IV25" s="48"/>
    </row>
    <row r="26" spans="2:256" ht="14.25" x14ac:dyDescent="0.2">
      <c r="B26" s="52"/>
      <c r="C26" s="52"/>
      <c r="D26" s="52"/>
      <c r="E26" s="52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8"/>
      <c r="BU26" s="48"/>
      <c r="BV26" s="48"/>
      <c r="BW26" s="48"/>
      <c r="BX26" s="48"/>
      <c r="BY26" s="48"/>
      <c r="BZ26" s="48"/>
      <c r="CA26" s="48"/>
      <c r="CB26" s="48"/>
      <c r="CC26" s="48"/>
      <c r="CD26" s="48"/>
      <c r="CE26" s="48"/>
      <c r="CF26" s="48"/>
      <c r="CG26" s="48"/>
      <c r="CH26" s="48"/>
      <c r="CI26" s="48"/>
      <c r="CJ26" s="48"/>
      <c r="CK26" s="48"/>
      <c r="CL26" s="48"/>
      <c r="CM26" s="48"/>
      <c r="CN26" s="48"/>
      <c r="CO26" s="48"/>
      <c r="CP26" s="48"/>
      <c r="CQ26" s="48"/>
      <c r="CR26" s="48"/>
      <c r="CS26" s="48"/>
      <c r="CT26" s="48"/>
      <c r="CU26" s="48"/>
      <c r="CV26" s="48"/>
      <c r="CW26" s="48"/>
      <c r="CX26" s="48"/>
      <c r="CY26" s="48"/>
      <c r="CZ26" s="48"/>
      <c r="DA26" s="48"/>
      <c r="DB26" s="48"/>
      <c r="DC26" s="48"/>
      <c r="DD26" s="48"/>
      <c r="DE26" s="48"/>
      <c r="DF26" s="48"/>
      <c r="DG26" s="48"/>
      <c r="DH26" s="48"/>
      <c r="DI26" s="48"/>
      <c r="DJ26" s="48"/>
      <c r="DK26" s="48"/>
      <c r="DL26" s="48"/>
      <c r="DM26" s="48"/>
      <c r="DN26" s="48"/>
      <c r="DO26" s="48"/>
      <c r="DP26" s="48"/>
      <c r="DQ26" s="48"/>
      <c r="DR26" s="48"/>
      <c r="DS26" s="48"/>
      <c r="DT26" s="48"/>
      <c r="DU26" s="48"/>
      <c r="DV26" s="48"/>
      <c r="DW26" s="48"/>
      <c r="DX26" s="48"/>
      <c r="DY26" s="48"/>
      <c r="DZ26" s="48"/>
      <c r="EA26" s="48"/>
      <c r="EB26" s="48"/>
      <c r="EC26" s="48"/>
      <c r="ED26" s="48"/>
      <c r="EE26" s="48"/>
      <c r="EF26" s="48"/>
      <c r="EG26" s="48"/>
      <c r="EH26" s="48"/>
      <c r="EI26" s="48"/>
      <c r="EJ26" s="48"/>
      <c r="EK26" s="48"/>
      <c r="EL26" s="48"/>
      <c r="EM26" s="48"/>
      <c r="EN26" s="48"/>
      <c r="EO26" s="48"/>
      <c r="EP26" s="48"/>
      <c r="EQ26" s="48"/>
      <c r="ER26" s="48"/>
      <c r="ES26" s="48"/>
      <c r="ET26" s="48"/>
      <c r="EU26" s="48"/>
      <c r="EV26" s="48"/>
      <c r="EW26" s="48"/>
      <c r="EX26" s="48"/>
      <c r="EY26" s="48"/>
      <c r="EZ26" s="48"/>
      <c r="FA26" s="48"/>
      <c r="FB26" s="48"/>
      <c r="FC26" s="48"/>
      <c r="FD26" s="48"/>
      <c r="FE26" s="48"/>
      <c r="FF26" s="48"/>
      <c r="FG26" s="48"/>
      <c r="FH26" s="48"/>
      <c r="FI26" s="48"/>
      <c r="FJ26" s="48"/>
      <c r="FK26" s="48"/>
      <c r="FL26" s="48"/>
      <c r="FM26" s="48"/>
      <c r="FN26" s="48"/>
      <c r="FO26" s="48"/>
      <c r="FP26" s="48"/>
      <c r="FQ26" s="48"/>
      <c r="FR26" s="48"/>
      <c r="FS26" s="48"/>
      <c r="FT26" s="48"/>
      <c r="FU26" s="48"/>
      <c r="FV26" s="48"/>
      <c r="FW26" s="48"/>
      <c r="FX26" s="48"/>
      <c r="FY26" s="48"/>
      <c r="FZ26" s="48"/>
      <c r="GA26" s="48"/>
      <c r="GB26" s="48"/>
      <c r="GC26" s="48"/>
      <c r="GD26" s="48"/>
      <c r="GE26" s="48"/>
      <c r="GF26" s="48"/>
      <c r="GG26" s="48"/>
      <c r="GH26" s="48"/>
      <c r="GI26" s="48"/>
      <c r="GJ26" s="48"/>
      <c r="GK26" s="48"/>
      <c r="GL26" s="48"/>
      <c r="GM26" s="48"/>
      <c r="GN26" s="48"/>
      <c r="GO26" s="48"/>
      <c r="GP26" s="48"/>
      <c r="GQ26" s="48"/>
      <c r="GR26" s="48"/>
      <c r="GS26" s="48"/>
      <c r="GT26" s="48"/>
      <c r="GU26" s="48"/>
      <c r="GV26" s="48"/>
      <c r="GW26" s="48"/>
      <c r="GX26" s="48"/>
      <c r="GY26" s="48"/>
      <c r="GZ26" s="48"/>
      <c r="HA26" s="48"/>
      <c r="HB26" s="48"/>
      <c r="HC26" s="48"/>
      <c r="HD26" s="48"/>
      <c r="HE26" s="48"/>
      <c r="HF26" s="48"/>
      <c r="HG26" s="48"/>
      <c r="HH26" s="48"/>
      <c r="HI26" s="48"/>
      <c r="HJ26" s="48"/>
      <c r="HK26" s="48"/>
      <c r="HL26" s="48"/>
      <c r="HM26" s="48"/>
      <c r="HN26" s="48"/>
      <c r="HO26" s="48"/>
      <c r="HP26" s="48"/>
      <c r="HQ26" s="48"/>
      <c r="HR26" s="48"/>
      <c r="HS26" s="48"/>
      <c r="HT26" s="48"/>
      <c r="HU26" s="48"/>
      <c r="HV26" s="48"/>
      <c r="HW26" s="48"/>
      <c r="HX26" s="48"/>
      <c r="HY26" s="48"/>
      <c r="HZ26" s="48"/>
      <c r="IA26" s="48"/>
      <c r="IB26" s="48"/>
      <c r="IC26" s="48"/>
      <c r="ID26" s="48"/>
      <c r="IE26" s="48"/>
      <c r="IF26" s="48"/>
      <c r="IG26" s="48"/>
      <c r="IH26" s="48"/>
      <c r="II26" s="48"/>
      <c r="IJ26" s="48"/>
      <c r="IK26" s="48"/>
      <c r="IL26" s="48"/>
      <c r="IM26" s="48"/>
      <c r="IN26" s="48"/>
      <c r="IO26" s="48"/>
      <c r="IP26" s="48"/>
      <c r="IQ26" s="48"/>
      <c r="IR26" s="48"/>
      <c r="IS26" s="48"/>
      <c r="IT26" s="48"/>
      <c r="IU26" s="48"/>
      <c r="IV26" s="48"/>
    </row>
    <row r="27" spans="2:256" ht="20.25" customHeight="1" x14ac:dyDescent="0.2">
      <c r="B27" s="52"/>
      <c r="C27" s="52"/>
      <c r="D27" s="52"/>
      <c r="E27" s="52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  <c r="BN27" s="48"/>
      <c r="BO27" s="48"/>
      <c r="BP27" s="48"/>
      <c r="BQ27" s="48"/>
      <c r="BR27" s="48"/>
      <c r="BS27" s="48"/>
      <c r="BT27" s="48"/>
      <c r="BU27" s="48"/>
      <c r="BV27" s="48"/>
      <c r="BW27" s="48"/>
      <c r="BX27" s="48"/>
      <c r="BY27" s="48"/>
      <c r="BZ27" s="48"/>
      <c r="CA27" s="48"/>
      <c r="CB27" s="48"/>
      <c r="CC27" s="48"/>
      <c r="CD27" s="48"/>
      <c r="CE27" s="48"/>
      <c r="CF27" s="48"/>
      <c r="CG27" s="48"/>
      <c r="CH27" s="48"/>
      <c r="CI27" s="48"/>
      <c r="CJ27" s="48"/>
      <c r="CK27" s="48"/>
      <c r="CL27" s="48"/>
      <c r="CM27" s="48"/>
      <c r="CN27" s="48"/>
      <c r="CO27" s="48"/>
      <c r="CP27" s="48"/>
      <c r="CQ27" s="48"/>
      <c r="CR27" s="48"/>
      <c r="CS27" s="48"/>
      <c r="CT27" s="48"/>
      <c r="CU27" s="48"/>
      <c r="CV27" s="48"/>
      <c r="CW27" s="48"/>
      <c r="CX27" s="48"/>
      <c r="CY27" s="48"/>
      <c r="CZ27" s="48"/>
      <c r="DA27" s="48"/>
      <c r="DB27" s="48"/>
      <c r="DC27" s="48"/>
      <c r="DD27" s="48"/>
      <c r="DE27" s="48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48"/>
      <c r="EA27" s="48"/>
      <c r="EB27" s="48"/>
      <c r="EC27" s="48"/>
      <c r="ED27" s="48"/>
      <c r="EE27" s="48"/>
      <c r="EF27" s="48"/>
      <c r="EG27" s="48"/>
      <c r="EH27" s="48"/>
      <c r="EI27" s="48"/>
      <c r="EJ27" s="48"/>
      <c r="EK27" s="48"/>
      <c r="EL27" s="48"/>
      <c r="EM27" s="48"/>
      <c r="EN27" s="48"/>
      <c r="EO27" s="48"/>
      <c r="EP27" s="48"/>
      <c r="EQ27" s="48"/>
      <c r="ER27" s="48"/>
      <c r="ES27" s="48"/>
      <c r="ET27" s="48"/>
      <c r="EU27" s="48"/>
      <c r="EV27" s="48"/>
      <c r="EW27" s="48"/>
      <c r="EX27" s="48"/>
      <c r="EY27" s="48"/>
      <c r="EZ27" s="48"/>
      <c r="FA27" s="48"/>
      <c r="FB27" s="48"/>
      <c r="FC27" s="48"/>
      <c r="FD27" s="48"/>
      <c r="FE27" s="48"/>
      <c r="FF27" s="48"/>
      <c r="FG27" s="48"/>
      <c r="FH27" s="48"/>
      <c r="FI27" s="48"/>
      <c r="FJ27" s="48"/>
      <c r="FK27" s="48"/>
      <c r="FL27" s="48"/>
      <c r="FM27" s="48"/>
      <c r="FN27" s="48"/>
      <c r="FO27" s="48"/>
      <c r="FP27" s="48"/>
      <c r="FQ27" s="48"/>
      <c r="FR27" s="48"/>
      <c r="FS27" s="48"/>
      <c r="FT27" s="48"/>
      <c r="FU27" s="48"/>
      <c r="FV27" s="48"/>
      <c r="FW27" s="48"/>
      <c r="FX27" s="48"/>
      <c r="FY27" s="48"/>
      <c r="FZ27" s="48"/>
      <c r="GA27" s="48"/>
      <c r="GB27" s="48"/>
      <c r="GC27" s="48"/>
      <c r="GD27" s="48"/>
      <c r="GE27" s="48"/>
      <c r="GF27" s="48"/>
      <c r="GG27" s="48"/>
      <c r="GH27" s="48"/>
      <c r="GI27" s="48"/>
      <c r="GJ27" s="48"/>
      <c r="GK27" s="48"/>
      <c r="GL27" s="48"/>
      <c r="GM27" s="48"/>
      <c r="GN27" s="48"/>
      <c r="GO27" s="48"/>
      <c r="GP27" s="48"/>
      <c r="GQ27" s="48"/>
      <c r="GR27" s="48"/>
      <c r="GS27" s="48"/>
      <c r="GT27" s="48"/>
      <c r="GU27" s="48"/>
      <c r="GV27" s="48"/>
      <c r="GW27" s="48"/>
      <c r="GX27" s="48"/>
      <c r="GY27" s="48"/>
      <c r="GZ27" s="48"/>
      <c r="HA27" s="48"/>
      <c r="HB27" s="48"/>
      <c r="HC27" s="48"/>
      <c r="HD27" s="48"/>
      <c r="HE27" s="48"/>
      <c r="HF27" s="48"/>
      <c r="HG27" s="48"/>
      <c r="HH27" s="48"/>
      <c r="HI27" s="48"/>
      <c r="HJ27" s="48"/>
      <c r="HK27" s="48"/>
      <c r="HL27" s="48"/>
      <c r="HM27" s="48"/>
      <c r="HN27" s="48"/>
      <c r="HO27" s="48"/>
      <c r="HP27" s="48"/>
      <c r="HQ27" s="48"/>
      <c r="HR27" s="48"/>
      <c r="HS27" s="48"/>
      <c r="HT27" s="48"/>
      <c r="HU27" s="48"/>
      <c r="HV27" s="48"/>
      <c r="HW27" s="48"/>
      <c r="HX27" s="48"/>
      <c r="HY27" s="48"/>
      <c r="HZ27" s="48"/>
      <c r="IA27" s="48"/>
      <c r="IB27" s="48"/>
      <c r="IC27" s="48"/>
      <c r="ID27" s="48"/>
      <c r="IE27" s="48"/>
      <c r="IF27" s="48"/>
      <c r="IG27" s="48"/>
      <c r="IH27" s="48"/>
      <c r="II27" s="48"/>
      <c r="IJ27" s="48"/>
      <c r="IK27" s="48"/>
      <c r="IL27" s="48"/>
      <c r="IM27" s="48"/>
      <c r="IN27" s="48"/>
      <c r="IO27" s="48"/>
      <c r="IP27" s="48"/>
      <c r="IQ27" s="48"/>
      <c r="IR27" s="48"/>
      <c r="IS27" s="48"/>
      <c r="IT27" s="48"/>
      <c r="IU27" s="48"/>
      <c r="IV27" s="48"/>
    </row>
    <row r="28" spans="2:256" ht="14.25" x14ac:dyDescent="0.2"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48"/>
      <c r="CK28" s="48"/>
      <c r="CL28" s="48"/>
      <c r="CM28" s="48"/>
      <c r="CN28" s="48"/>
      <c r="CO28" s="48"/>
      <c r="CP28" s="48"/>
      <c r="CQ28" s="48"/>
      <c r="CR28" s="48"/>
      <c r="CS28" s="48"/>
      <c r="CT28" s="48"/>
      <c r="CU28" s="48"/>
      <c r="CV28" s="48"/>
      <c r="CW28" s="48"/>
      <c r="CX28" s="48"/>
      <c r="CY28" s="48"/>
      <c r="CZ28" s="48"/>
      <c r="DA28" s="48"/>
      <c r="DB28" s="48"/>
      <c r="DC28" s="48"/>
      <c r="DD28" s="48"/>
      <c r="DE28" s="48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48"/>
      <c r="EA28" s="48"/>
      <c r="EB28" s="48"/>
      <c r="EC28" s="48"/>
      <c r="ED28" s="48"/>
      <c r="EE28" s="48"/>
      <c r="EF28" s="48"/>
      <c r="EG28" s="48"/>
      <c r="EH28" s="48"/>
      <c r="EI28" s="48"/>
      <c r="EJ28" s="48"/>
      <c r="EK28" s="48"/>
      <c r="EL28" s="48"/>
      <c r="EM28" s="48"/>
      <c r="EN28" s="48"/>
      <c r="EO28" s="48"/>
      <c r="EP28" s="48"/>
      <c r="EQ28" s="48"/>
      <c r="ER28" s="48"/>
      <c r="ES28" s="48"/>
      <c r="ET28" s="48"/>
      <c r="EU28" s="48"/>
      <c r="EV28" s="48"/>
      <c r="EW28" s="48"/>
      <c r="EX28" s="48"/>
      <c r="EY28" s="48"/>
      <c r="EZ28" s="48"/>
      <c r="FA28" s="48"/>
      <c r="FB28" s="48"/>
      <c r="FC28" s="48"/>
      <c r="FD28" s="48"/>
      <c r="FE28" s="48"/>
      <c r="FF28" s="48"/>
      <c r="FG28" s="48"/>
      <c r="FH28" s="48"/>
      <c r="FI28" s="48"/>
      <c r="FJ28" s="48"/>
      <c r="FK28" s="48"/>
      <c r="FL28" s="48"/>
      <c r="FM28" s="48"/>
      <c r="FN28" s="48"/>
      <c r="FO28" s="48"/>
      <c r="FP28" s="48"/>
      <c r="FQ28" s="48"/>
      <c r="FR28" s="48"/>
      <c r="FS28" s="48"/>
      <c r="FT28" s="48"/>
      <c r="FU28" s="48"/>
      <c r="FV28" s="48"/>
      <c r="FW28" s="48"/>
      <c r="FX28" s="48"/>
      <c r="FY28" s="48"/>
      <c r="FZ28" s="48"/>
      <c r="GA28" s="48"/>
      <c r="GB28" s="48"/>
      <c r="GC28" s="48"/>
      <c r="GD28" s="48"/>
      <c r="GE28" s="48"/>
      <c r="GF28" s="48"/>
      <c r="GG28" s="48"/>
      <c r="GH28" s="48"/>
      <c r="GI28" s="48"/>
      <c r="GJ28" s="48"/>
      <c r="GK28" s="48"/>
      <c r="GL28" s="48"/>
      <c r="GM28" s="48"/>
      <c r="GN28" s="48"/>
      <c r="GO28" s="48"/>
      <c r="GP28" s="48"/>
      <c r="GQ28" s="48"/>
      <c r="GR28" s="48"/>
      <c r="GS28" s="48"/>
      <c r="GT28" s="48"/>
      <c r="GU28" s="48"/>
      <c r="GV28" s="48"/>
      <c r="GW28" s="48"/>
      <c r="GX28" s="48"/>
      <c r="GY28" s="48"/>
      <c r="GZ28" s="48"/>
      <c r="HA28" s="48"/>
      <c r="HB28" s="48"/>
      <c r="HC28" s="48"/>
      <c r="HD28" s="48"/>
      <c r="HE28" s="48"/>
      <c r="HF28" s="48"/>
      <c r="HG28" s="48"/>
      <c r="HH28" s="48"/>
      <c r="HI28" s="48"/>
      <c r="HJ28" s="48"/>
      <c r="HK28" s="48"/>
      <c r="HL28" s="48"/>
      <c r="HM28" s="48"/>
      <c r="HN28" s="48"/>
      <c r="HO28" s="48"/>
      <c r="HP28" s="48"/>
      <c r="HQ28" s="48"/>
      <c r="HR28" s="48"/>
      <c r="HS28" s="48"/>
      <c r="HT28" s="48"/>
      <c r="HU28" s="48"/>
      <c r="HV28" s="48"/>
      <c r="HW28" s="48"/>
      <c r="HX28" s="48"/>
      <c r="HY28" s="48"/>
      <c r="HZ28" s="48"/>
      <c r="IA28" s="48"/>
      <c r="IB28" s="48"/>
      <c r="IC28" s="48"/>
      <c r="ID28" s="48"/>
      <c r="IE28" s="48"/>
      <c r="IF28" s="48"/>
      <c r="IG28" s="48"/>
      <c r="IH28" s="48"/>
      <c r="II28" s="48"/>
      <c r="IJ28" s="48"/>
      <c r="IK28" s="48"/>
      <c r="IL28" s="48"/>
      <c r="IM28" s="48"/>
      <c r="IN28" s="48"/>
      <c r="IO28" s="48"/>
      <c r="IP28" s="48"/>
      <c r="IQ28" s="48"/>
      <c r="IR28" s="48"/>
      <c r="IS28" s="48"/>
      <c r="IT28" s="48"/>
      <c r="IU28" s="48"/>
      <c r="IV28" s="48"/>
    </row>
    <row r="29" spans="2:256" ht="14.25" x14ac:dyDescent="0.2"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  <c r="BI29" s="48"/>
      <c r="BJ29" s="48"/>
      <c r="BK29" s="48"/>
      <c r="BL29" s="48"/>
      <c r="BM29" s="48"/>
      <c r="BN29" s="48"/>
      <c r="BO29" s="48"/>
      <c r="BP29" s="48"/>
      <c r="BQ29" s="48"/>
      <c r="BR29" s="48"/>
      <c r="BS29" s="48"/>
      <c r="BT29" s="48"/>
      <c r="BU29" s="48"/>
      <c r="BV29" s="48"/>
      <c r="BW29" s="48"/>
      <c r="BX29" s="48"/>
      <c r="BY29" s="48"/>
      <c r="BZ29" s="48"/>
      <c r="CA29" s="48"/>
      <c r="CB29" s="48"/>
      <c r="CC29" s="48"/>
      <c r="CD29" s="48"/>
      <c r="CE29" s="48"/>
      <c r="CF29" s="48"/>
      <c r="CG29" s="48"/>
      <c r="CH29" s="48"/>
      <c r="CI29" s="48"/>
      <c r="CJ29" s="48"/>
      <c r="CK29" s="48"/>
      <c r="CL29" s="48"/>
      <c r="CM29" s="48"/>
      <c r="CN29" s="48"/>
      <c r="CO29" s="48"/>
      <c r="CP29" s="48"/>
      <c r="CQ29" s="48"/>
      <c r="CR29" s="48"/>
      <c r="CS29" s="48"/>
      <c r="CT29" s="48"/>
      <c r="CU29" s="48"/>
      <c r="CV29" s="48"/>
      <c r="CW29" s="48"/>
      <c r="CX29" s="48"/>
      <c r="CY29" s="48"/>
      <c r="CZ29" s="48"/>
      <c r="DA29" s="48"/>
      <c r="DB29" s="48"/>
      <c r="DC29" s="48"/>
      <c r="DD29" s="48"/>
      <c r="DE29" s="48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48"/>
      <c r="EA29" s="48"/>
      <c r="EB29" s="48"/>
      <c r="EC29" s="48"/>
      <c r="ED29" s="48"/>
      <c r="EE29" s="48"/>
      <c r="EF29" s="48"/>
      <c r="EG29" s="48"/>
      <c r="EH29" s="48"/>
      <c r="EI29" s="48"/>
      <c r="EJ29" s="48"/>
      <c r="EK29" s="48"/>
      <c r="EL29" s="48"/>
      <c r="EM29" s="48"/>
      <c r="EN29" s="48"/>
      <c r="EO29" s="48"/>
      <c r="EP29" s="48"/>
      <c r="EQ29" s="48"/>
      <c r="ER29" s="48"/>
      <c r="ES29" s="48"/>
      <c r="ET29" s="48"/>
      <c r="EU29" s="48"/>
      <c r="EV29" s="48"/>
      <c r="EW29" s="48"/>
      <c r="EX29" s="48"/>
      <c r="EY29" s="48"/>
      <c r="EZ29" s="48"/>
      <c r="FA29" s="48"/>
      <c r="FB29" s="48"/>
      <c r="FC29" s="48"/>
      <c r="FD29" s="48"/>
      <c r="FE29" s="48"/>
      <c r="FF29" s="48"/>
      <c r="FG29" s="48"/>
      <c r="FH29" s="48"/>
      <c r="FI29" s="48"/>
      <c r="FJ29" s="48"/>
      <c r="FK29" s="48"/>
      <c r="FL29" s="48"/>
      <c r="FM29" s="48"/>
      <c r="FN29" s="48"/>
      <c r="FO29" s="48"/>
      <c r="FP29" s="48"/>
      <c r="FQ29" s="48"/>
      <c r="FR29" s="48"/>
      <c r="FS29" s="48"/>
      <c r="FT29" s="48"/>
      <c r="FU29" s="48"/>
      <c r="FV29" s="48"/>
      <c r="FW29" s="48"/>
      <c r="FX29" s="48"/>
      <c r="FY29" s="48"/>
      <c r="FZ29" s="48"/>
      <c r="GA29" s="48"/>
      <c r="GB29" s="48"/>
      <c r="GC29" s="48"/>
      <c r="GD29" s="48"/>
      <c r="GE29" s="48"/>
      <c r="GF29" s="48"/>
      <c r="GG29" s="48"/>
      <c r="GH29" s="48"/>
      <c r="GI29" s="48"/>
      <c r="GJ29" s="48"/>
      <c r="GK29" s="48"/>
      <c r="GL29" s="48"/>
      <c r="GM29" s="48"/>
      <c r="GN29" s="48"/>
      <c r="GO29" s="48"/>
      <c r="GP29" s="48"/>
      <c r="GQ29" s="48"/>
      <c r="GR29" s="48"/>
      <c r="GS29" s="48"/>
      <c r="GT29" s="48"/>
      <c r="GU29" s="48"/>
      <c r="GV29" s="48"/>
      <c r="GW29" s="48"/>
      <c r="GX29" s="48"/>
      <c r="GY29" s="48"/>
      <c r="GZ29" s="48"/>
      <c r="HA29" s="48"/>
      <c r="HB29" s="48"/>
      <c r="HC29" s="48"/>
      <c r="HD29" s="48"/>
      <c r="HE29" s="48"/>
      <c r="HF29" s="48"/>
      <c r="HG29" s="48"/>
      <c r="HH29" s="48"/>
      <c r="HI29" s="48"/>
      <c r="HJ29" s="48"/>
      <c r="HK29" s="48"/>
      <c r="HL29" s="48"/>
      <c r="HM29" s="48"/>
      <c r="HN29" s="48"/>
      <c r="HO29" s="48"/>
      <c r="HP29" s="48"/>
      <c r="HQ29" s="48"/>
      <c r="HR29" s="48"/>
      <c r="HS29" s="48"/>
      <c r="HT29" s="48"/>
      <c r="HU29" s="48"/>
      <c r="HV29" s="48"/>
      <c r="HW29" s="48"/>
      <c r="HX29" s="48"/>
      <c r="HY29" s="48"/>
      <c r="HZ29" s="48"/>
      <c r="IA29" s="48"/>
      <c r="IB29" s="48"/>
      <c r="IC29" s="48"/>
      <c r="ID29" s="48"/>
      <c r="IE29" s="48"/>
      <c r="IF29" s="48"/>
      <c r="IG29" s="48"/>
      <c r="IH29" s="48"/>
      <c r="II29" s="48"/>
      <c r="IJ29" s="48"/>
      <c r="IK29" s="48"/>
      <c r="IL29" s="48"/>
      <c r="IM29" s="48"/>
      <c r="IN29" s="48"/>
      <c r="IO29" s="48"/>
      <c r="IP29" s="48"/>
      <c r="IQ29" s="48"/>
      <c r="IR29" s="48"/>
      <c r="IS29" s="48"/>
      <c r="IT29" s="48"/>
      <c r="IU29" s="48"/>
      <c r="IV29" s="48"/>
    </row>
    <row r="30" spans="2:256" ht="14.25" x14ac:dyDescent="0.2"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  <c r="BE30" s="48"/>
      <c r="BF30" s="48"/>
      <c r="BG30" s="48"/>
      <c r="BH30" s="48"/>
      <c r="BI30" s="48"/>
      <c r="BJ30" s="48"/>
      <c r="BK30" s="48"/>
      <c r="BL30" s="48"/>
      <c r="BM30" s="48"/>
      <c r="BN30" s="48"/>
      <c r="BO30" s="48"/>
      <c r="BP30" s="48"/>
      <c r="BQ30" s="48"/>
      <c r="BR30" s="48"/>
      <c r="BS30" s="48"/>
      <c r="BT30" s="48"/>
      <c r="BU30" s="48"/>
      <c r="BV30" s="48"/>
      <c r="BW30" s="48"/>
      <c r="BX30" s="48"/>
      <c r="BY30" s="48"/>
      <c r="BZ30" s="48"/>
      <c r="CA30" s="48"/>
      <c r="CB30" s="48"/>
      <c r="CC30" s="48"/>
      <c r="CD30" s="48"/>
      <c r="CE30" s="48"/>
      <c r="CF30" s="48"/>
      <c r="CG30" s="48"/>
      <c r="CH30" s="48"/>
      <c r="CI30" s="48"/>
      <c r="CJ30" s="48"/>
      <c r="CK30" s="48"/>
      <c r="CL30" s="48"/>
      <c r="CM30" s="48"/>
      <c r="CN30" s="48"/>
      <c r="CO30" s="48"/>
      <c r="CP30" s="48"/>
      <c r="CQ30" s="48"/>
      <c r="CR30" s="48"/>
      <c r="CS30" s="48"/>
      <c r="CT30" s="48"/>
      <c r="CU30" s="48"/>
      <c r="CV30" s="48"/>
      <c r="CW30" s="48"/>
      <c r="CX30" s="48"/>
      <c r="CY30" s="48"/>
      <c r="CZ30" s="48"/>
      <c r="DA30" s="48"/>
      <c r="DB30" s="48"/>
      <c r="DC30" s="48"/>
      <c r="DD30" s="48"/>
      <c r="DE30" s="48"/>
      <c r="DF30" s="48"/>
      <c r="DG30" s="48"/>
      <c r="DH30" s="48"/>
      <c r="DI30" s="48"/>
      <c r="DJ30" s="48"/>
      <c r="DK30" s="48"/>
      <c r="DL30" s="48"/>
      <c r="DM30" s="48"/>
      <c r="DN30" s="48"/>
      <c r="DO30" s="48"/>
      <c r="DP30" s="48"/>
      <c r="DQ30" s="48"/>
      <c r="DR30" s="48"/>
      <c r="DS30" s="48"/>
      <c r="DT30" s="48"/>
      <c r="DU30" s="48"/>
      <c r="DV30" s="48"/>
      <c r="DW30" s="48"/>
      <c r="DX30" s="48"/>
      <c r="DY30" s="48"/>
      <c r="DZ30" s="48"/>
      <c r="EA30" s="48"/>
      <c r="EB30" s="48"/>
      <c r="EC30" s="48"/>
      <c r="ED30" s="48"/>
      <c r="EE30" s="48"/>
      <c r="EF30" s="48"/>
      <c r="EG30" s="48"/>
      <c r="EH30" s="48"/>
      <c r="EI30" s="48"/>
      <c r="EJ30" s="48"/>
      <c r="EK30" s="48"/>
      <c r="EL30" s="48"/>
      <c r="EM30" s="48"/>
      <c r="EN30" s="48"/>
      <c r="EO30" s="48"/>
      <c r="EP30" s="48"/>
      <c r="EQ30" s="48"/>
      <c r="ER30" s="48"/>
      <c r="ES30" s="48"/>
      <c r="ET30" s="48"/>
      <c r="EU30" s="48"/>
      <c r="EV30" s="48"/>
      <c r="EW30" s="48"/>
      <c r="EX30" s="48"/>
      <c r="EY30" s="48"/>
      <c r="EZ30" s="48"/>
      <c r="FA30" s="48"/>
      <c r="FB30" s="48"/>
      <c r="FC30" s="48"/>
      <c r="FD30" s="48"/>
      <c r="FE30" s="48"/>
      <c r="FF30" s="48"/>
      <c r="FG30" s="48"/>
      <c r="FH30" s="48"/>
      <c r="FI30" s="48"/>
      <c r="FJ30" s="48"/>
      <c r="FK30" s="48"/>
      <c r="FL30" s="48"/>
      <c r="FM30" s="48"/>
      <c r="FN30" s="48"/>
      <c r="FO30" s="48"/>
      <c r="FP30" s="48"/>
      <c r="FQ30" s="48"/>
      <c r="FR30" s="48"/>
      <c r="FS30" s="48"/>
      <c r="FT30" s="48"/>
      <c r="FU30" s="48"/>
      <c r="FV30" s="48"/>
      <c r="FW30" s="48"/>
      <c r="FX30" s="48"/>
      <c r="FY30" s="48"/>
      <c r="FZ30" s="48"/>
      <c r="GA30" s="48"/>
      <c r="GB30" s="48"/>
      <c r="GC30" s="48"/>
      <c r="GD30" s="48"/>
      <c r="GE30" s="48"/>
      <c r="GF30" s="48"/>
      <c r="GG30" s="48"/>
      <c r="GH30" s="48"/>
      <c r="GI30" s="48"/>
      <c r="GJ30" s="48"/>
      <c r="GK30" s="48"/>
      <c r="GL30" s="48"/>
      <c r="GM30" s="48"/>
      <c r="GN30" s="48"/>
      <c r="GO30" s="48"/>
      <c r="GP30" s="48"/>
      <c r="GQ30" s="48"/>
      <c r="GR30" s="48"/>
      <c r="GS30" s="48"/>
      <c r="GT30" s="48"/>
      <c r="GU30" s="48"/>
      <c r="GV30" s="48"/>
      <c r="GW30" s="48"/>
      <c r="GX30" s="48"/>
      <c r="GY30" s="48"/>
      <c r="GZ30" s="48"/>
      <c r="HA30" s="48"/>
      <c r="HB30" s="48"/>
      <c r="HC30" s="48"/>
      <c r="HD30" s="48"/>
      <c r="HE30" s="48"/>
      <c r="HF30" s="48"/>
      <c r="HG30" s="48"/>
      <c r="HH30" s="48"/>
      <c r="HI30" s="48"/>
      <c r="HJ30" s="48"/>
      <c r="HK30" s="48"/>
      <c r="HL30" s="48"/>
      <c r="HM30" s="48"/>
      <c r="HN30" s="48"/>
      <c r="HO30" s="48"/>
      <c r="HP30" s="48"/>
      <c r="HQ30" s="48"/>
      <c r="HR30" s="48"/>
      <c r="HS30" s="48"/>
      <c r="HT30" s="48"/>
      <c r="HU30" s="48"/>
      <c r="HV30" s="48"/>
      <c r="HW30" s="48"/>
      <c r="HX30" s="48"/>
      <c r="HY30" s="48"/>
      <c r="HZ30" s="48"/>
      <c r="IA30" s="48"/>
      <c r="IB30" s="48"/>
      <c r="IC30" s="48"/>
      <c r="ID30" s="48"/>
      <c r="IE30" s="48"/>
      <c r="IF30" s="48"/>
      <c r="IG30" s="48"/>
      <c r="IH30" s="48"/>
      <c r="II30" s="48"/>
      <c r="IJ30" s="48"/>
      <c r="IK30" s="48"/>
      <c r="IL30" s="48"/>
      <c r="IM30" s="48"/>
      <c r="IN30" s="48"/>
      <c r="IO30" s="48"/>
      <c r="IP30" s="48"/>
      <c r="IQ30" s="48"/>
      <c r="IR30" s="48"/>
      <c r="IS30" s="48"/>
      <c r="IT30" s="48"/>
      <c r="IU30" s="48"/>
      <c r="IV30" s="48"/>
    </row>
    <row r="31" spans="2:256" ht="14.25" x14ac:dyDescent="0.2"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  <c r="BM31" s="48"/>
      <c r="BN31" s="48"/>
      <c r="BO31" s="48"/>
      <c r="BP31" s="48"/>
      <c r="BQ31" s="48"/>
      <c r="BR31" s="48"/>
      <c r="BS31" s="48"/>
      <c r="BT31" s="48"/>
      <c r="BU31" s="48"/>
      <c r="BV31" s="48"/>
      <c r="BW31" s="48"/>
      <c r="BX31" s="48"/>
      <c r="BY31" s="48"/>
      <c r="BZ31" s="48"/>
      <c r="CA31" s="48"/>
      <c r="CB31" s="48"/>
      <c r="CC31" s="48"/>
      <c r="CD31" s="48"/>
      <c r="CE31" s="48"/>
      <c r="CF31" s="48"/>
      <c r="CG31" s="48"/>
      <c r="CH31" s="48"/>
      <c r="CI31" s="48"/>
      <c r="CJ31" s="48"/>
      <c r="CK31" s="48"/>
      <c r="CL31" s="48"/>
      <c r="CM31" s="48"/>
      <c r="CN31" s="48"/>
      <c r="CO31" s="48"/>
      <c r="CP31" s="48"/>
      <c r="CQ31" s="48"/>
      <c r="CR31" s="48"/>
      <c r="CS31" s="48"/>
      <c r="CT31" s="48"/>
      <c r="CU31" s="48"/>
      <c r="CV31" s="48"/>
      <c r="CW31" s="48"/>
      <c r="CX31" s="48"/>
      <c r="CY31" s="48"/>
      <c r="CZ31" s="48"/>
      <c r="DA31" s="48"/>
      <c r="DB31" s="48"/>
      <c r="DC31" s="48"/>
      <c r="DD31" s="48"/>
      <c r="DE31" s="48"/>
      <c r="DF31" s="48"/>
      <c r="DG31" s="48"/>
      <c r="DH31" s="48"/>
      <c r="DI31" s="48"/>
      <c r="DJ31" s="48"/>
      <c r="DK31" s="48"/>
      <c r="DL31" s="48"/>
      <c r="DM31" s="48"/>
      <c r="DN31" s="48"/>
      <c r="DO31" s="48"/>
      <c r="DP31" s="48"/>
      <c r="DQ31" s="48"/>
      <c r="DR31" s="48"/>
      <c r="DS31" s="48"/>
      <c r="DT31" s="48"/>
      <c r="DU31" s="48"/>
      <c r="DV31" s="48"/>
      <c r="DW31" s="48"/>
      <c r="DX31" s="48"/>
      <c r="DY31" s="48"/>
      <c r="DZ31" s="48"/>
      <c r="EA31" s="48"/>
      <c r="EB31" s="48"/>
      <c r="EC31" s="48"/>
      <c r="ED31" s="48"/>
      <c r="EE31" s="48"/>
      <c r="EF31" s="48"/>
      <c r="EG31" s="48"/>
      <c r="EH31" s="48"/>
      <c r="EI31" s="48"/>
      <c r="EJ31" s="48"/>
      <c r="EK31" s="48"/>
      <c r="EL31" s="48"/>
      <c r="EM31" s="48"/>
      <c r="EN31" s="48"/>
      <c r="EO31" s="48"/>
      <c r="EP31" s="48"/>
      <c r="EQ31" s="48"/>
      <c r="ER31" s="48"/>
      <c r="ES31" s="48"/>
      <c r="ET31" s="48"/>
      <c r="EU31" s="48"/>
      <c r="EV31" s="48"/>
      <c r="EW31" s="48"/>
      <c r="EX31" s="48"/>
      <c r="EY31" s="48"/>
      <c r="EZ31" s="48"/>
      <c r="FA31" s="48"/>
      <c r="FB31" s="48"/>
      <c r="FC31" s="48"/>
      <c r="FD31" s="48"/>
      <c r="FE31" s="48"/>
      <c r="FF31" s="48"/>
      <c r="FG31" s="48"/>
      <c r="FH31" s="48"/>
      <c r="FI31" s="48"/>
      <c r="FJ31" s="48"/>
      <c r="FK31" s="48"/>
      <c r="FL31" s="48"/>
      <c r="FM31" s="48"/>
      <c r="FN31" s="48"/>
      <c r="FO31" s="48"/>
      <c r="FP31" s="48"/>
      <c r="FQ31" s="48"/>
      <c r="FR31" s="48"/>
      <c r="FS31" s="48"/>
      <c r="FT31" s="48"/>
      <c r="FU31" s="48"/>
      <c r="FV31" s="48"/>
      <c r="FW31" s="48"/>
      <c r="FX31" s="48"/>
      <c r="FY31" s="48"/>
      <c r="FZ31" s="48"/>
      <c r="GA31" s="48"/>
      <c r="GB31" s="48"/>
      <c r="GC31" s="48"/>
      <c r="GD31" s="48"/>
      <c r="GE31" s="48"/>
      <c r="GF31" s="48"/>
      <c r="GG31" s="48"/>
      <c r="GH31" s="48"/>
      <c r="GI31" s="48"/>
      <c r="GJ31" s="48"/>
      <c r="GK31" s="48"/>
      <c r="GL31" s="48"/>
      <c r="GM31" s="48"/>
      <c r="GN31" s="48"/>
      <c r="GO31" s="48"/>
      <c r="GP31" s="48"/>
      <c r="GQ31" s="48"/>
      <c r="GR31" s="48"/>
      <c r="GS31" s="48"/>
      <c r="GT31" s="48"/>
      <c r="GU31" s="48"/>
      <c r="GV31" s="48"/>
      <c r="GW31" s="48"/>
      <c r="GX31" s="48"/>
      <c r="GY31" s="48"/>
      <c r="GZ31" s="48"/>
      <c r="HA31" s="48"/>
      <c r="HB31" s="48"/>
      <c r="HC31" s="48"/>
      <c r="HD31" s="48"/>
      <c r="HE31" s="48"/>
      <c r="HF31" s="48"/>
      <c r="HG31" s="48"/>
      <c r="HH31" s="48"/>
      <c r="HI31" s="48"/>
      <c r="HJ31" s="48"/>
      <c r="HK31" s="48"/>
      <c r="HL31" s="48"/>
      <c r="HM31" s="48"/>
      <c r="HN31" s="48"/>
      <c r="HO31" s="48"/>
      <c r="HP31" s="48"/>
      <c r="HQ31" s="48"/>
      <c r="HR31" s="48"/>
      <c r="HS31" s="48"/>
      <c r="HT31" s="48"/>
      <c r="HU31" s="48"/>
      <c r="HV31" s="48"/>
      <c r="HW31" s="48"/>
      <c r="HX31" s="48"/>
      <c r="HY31" s="48"/>
      <c r="HZ31" s="48"/>
      <c r="IA31" s="48"/>
      <c r="IB31" s="48"/>
      <c r="IC31" s="48"/>
      <c r="ID31" s="48"/>
      <c r="IE31" s="48"/>
      <c r="IF31" s="48"/>
      <c r="IG31" s="48"/>
      <c r="IH31" s="48"/>
      <c r="II31" s="48"/>
      <c r="IJ31" s="48"/>
      <c r="IK31" s="48"/>
      <c r="IL31" s="48"/>
      <c r="IM31" s="48"/>
      <c r="IN31" s="48"/>
      <c r="IO31" s="48"/>
      <c r="IP31" s="48"/>
      <c r="IQ31" s="48"/>
      <c r="IR31" s="48"/>
      <c r="IS31" s="48"/>
      <c r="IT31" s="48"/>
      <c r="IU31" s="48"/>
      <c r="IV31" s="48"/>
    </row>
    <row r="32" spans="2:256" ht="14.25" x14ac:dyDescent="0.2"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8"/>
      <c r="BM32" s="48"/>
      <c r="BN32" s="48"/>
      <c r="BO32" s="48"/>
      <c r="BP32" s="48"/>
      <c r="BQ32" s="48"/>
      <c r="BR32" s="48"/>
      <c r="BS32" s="48"/>
      <c r="BT32" s="48"/>
      <c r="BU32" s="48"/>
      <c r="BV32" s="48"/>
      <c r="BW32" s="48"/>
      <c r="BX32" s="48"/>
      <c r="BY32" s="48"/>
      <c r="BZ32" s="48"/>
      <c r="CA32" s="48"/>
      <c r="CB32" s="48"/>
      <c r="CC32" s="48"/>
      <c r="CD32" s="48"/>
      <c r="CE32" s="48"/>
      <c r="CF32" s="48"/>
      <c r="CG32" s="48"/>
      <c r="CH32" s="48"/>
      <c r="CI32" s="48"/>
      <c r="CJ32" s="48"/>
      <c r="CK32" s="48"/>
      <c r="CL32" s="48"/>
      <c r="CM32" s="48"/>
      <c r="CN32" s="48"/>
      <c r="CO32" s="48"/>
      <c r="CP32" s="48"/>
      <c r="CQ32" s="48"/>
      <c r="CR32" s="48"/>
      <c r="CS32" s="48"/>
      <c r="CT32" s="48"/>
      <c r="CU32" s="48"/>
      <c r="CV32" s="48"/>
      <c r="CW32" s="48"/>
      <c r="CX32" s="48"/>
      <c r="CY32" s="48"/>
      <c r="CZ32" s="48"/>
      <c r="DA32" s="48"/>
      <c r="DB32" s="48"/>
      <c r="DC32" s="48"/>
      <c r="DD32" s="48"/>
      <c r="DE32" s="48"/>
      <c r="DF32" s="48"/>
      <c r="DG32" s="48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48"/>
      <c r="EA32" s="48"/>
      <c r="EB32" s="48"/>
      <c r="EC32" s="48"/>
      <c r="ED32" s="48"/>
      <c r="EE32" s="48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48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48"/>
      <c r="FG32" s="48"/>
      <c r="FH32" s="48"/>
      <c r="FI32" s="48"/>
      <c r="FJ32" s="48"/>
      <c r="FK32" s="48"/>
      <c r="FL32" s="48"/>
      <c r="FM32" s="48"/>
      <c r="FN32" s="48"/>
      <c r="FO32" s="48"/>
      <c r="FP32" s="48"/>
      <c r="FQ32" s="48"/>
      <c r="FR32" s="48"/>
      <c r="FS32" s="48"/>
      <c r="FT32" s="48"/>
      <c r="FU32" s="48"/>
      <c r="FV32" s="48"/>
      <c r="FW32" s="48"/>
      <c r="FX32" s="48"/>
      <c r="FY32" s="48"/>
      <c r="FZ32" s="48"/>
      <c r="GA32" s="48"/>
      <c r="GB32" s="48"/>
      <c r="GC32" s="48"/>
      <c r="GD32" s="48"/>
      <c r="GE32" s="48"/>
      <c r="GF32" s="48"/>
      <c r="GG32" s="48"/>
      <c r="GH32" s="48"/>
      <c r="GI32" s="48"/>
      <c r="GJ32" s="48"/>
      <c r="GK32" s="48"/>
      <c r="GL32" s="48"/>
      <c r="GM32" s="48"/>
      <c r="GN32" s="48"/>
      <c r="GO32" s="48"/>
      <c r="GP32" s="48"/>
      <c r="GQ32" s="48"/>
      <c r="GR32" s="48"/>
      <c r="GS32" s="48"/>
      <c r="GT32" s="48"/>
      <c r="GU32" s="48"/>
      <c r="GV32" s="48"/>
      <c r="GW32" s="48"/>
      <c r="GX32" s="48"/>
      <c r="GY32" s="48"/>
      <c r="GZ32" s="48"/>
      <c r="HA32" s="48"/>
      <c r="HB32" s="48"/>
      <c r="HC32" s="48"/>
      <c r="HD32" s="48"/>
      <c r="HE32" s="48"/>
      <c r="HF32" s="48"/>
      <c r="HG32" s="48"/>
      <c r="HH32" s="48"/>
      <c r="HI32" s="48"/>
      <c r="HJ32" s="48"/>
      <c r="HK32" s="48"/>
      <c r="HL32" s="48"/>
      <c r="HM32" s="48"/>
      <c r="HN32" s="48"/>
      <c r="HO32" s="48"/>
      <c r="HP32" s="48"/>
      <c r="HQ32" s="48"/>
      <c r="HR32" s="48"/>
      <c r="HS32" s="48"/>
      <c r="HT32" s="48"/>
      <c r="HU32" s="48"/>
      <c r="HV32" s="48"/>
      <c r="HW32" s="48"/>
      <c r="HX32" s="48"/>
      <c r="HY32" s="48"/>
      <c r="HZ32" s="48"/>
      <c r="IA32" s="48"/>
      <c r="IB32" s="48"/>
      <c r="IC32" s="48"/>
      <c r="ID32" s="48"/>
      <c r="IE32" s="48"/>
      <c r="IF32" s="48"/>
      <c r="IG32" s="48"/>
      <c r="IH32" s="48"/>
      <c r="II32" s="48"/>
      <c r="IJ32" s="48"/>
      <c r="IK32" s="48"/>
      <c r="IL32" s="48"/>
      <c r="IM32" s="48"/>
      <c r="IN32" s="48"/>
      <c r="IO32" s="48"/>
      <c r="IP32" s="48"/>
      <c r="IQ32" s="48"/>
      <c r="IR32" s="48"/>
      <c r="IS32" s="48"/>
      <c r="IT32" s="48"/>
      <c r="IU32" s="48"/>
      <c r="IV32" s="48"/>
    </row>
    <row r="33" spans="1:256" ht="14.25" x14ac:dyDescent="0.2"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8"/>
      <c r="CA33" s="48"/>
      <c r="CB33" s="48"/>
      <c r="CC33" s="48"/>
      <c r="CD33" s="48"/>
      <c r="CE33" s="48"/>
      <c r="CF33" s="48"/>
      <c r="CG33" s="48"/>
      <c r="CH33" s="48"/>
      <c r="CI33" s="48"/>
      <c r="CJ33" s="48"/>
      <c r="CK33" s="48"/>
      <c r="CL33" s="48"/>
      <c r="CM33" s="48"/>
      <c r="CN33" s="48"/>
      <c r="CO33" s="48"/>
      <c r="CP33" s="48"/>
      <c r="CQ33" s="48"/>
      <c r="CR33" s="48"/>
      <c r="CS33" s="48"/>
      <c r="CT33" s="48"/>
      <c r="CU33" s="48"/>
      <c r="CV33" s="48"/>
      <c r="CW33" s="48"/>
      <c r="CX33" s="48"/>
      <c r="CY33" s="48"/>
      <c r="CZ33" s="48"/>
      <c r="DA33" s="48"/>
      <c r="DB33" s="48"/>
      <c r="DC33" s="48"/>
      <c r="DD33" s="48"/>
      <c r="DE33" s="48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48"/>
      <c r="EA33" s="48"/>
      <c r="EB33" s="48"/>
      <c r="EC33" s="48"/>
      <c r="ED33" s="48"/>
      <c r="EE33" s="48"/>
      <c r="EF33" s="48"/>
      <c r="EG33" s="48"/>
      <c r="EH33" s="48"/>
      <c r="EI33" s="48"/>
      <c r="EJ33" s="48"/>
      <c r="EK33" s="48"/>
      <c r="EL33" s="48"/>
      <c r="EM33" s="48"/>
      <c r="EN33" s="48"/>
      <c r="EO33" s="48"/>
      <c r="EP33" s="48"/>
      <c r="EQ33" s="48"/>
      <c r="ER33" s="48"/>
      <c r="ES33" s="48"/>
      <c r="ET33" s="48"/>
      <c r="EU33" s="48"/>
      <c r="EV33" s="48"/>
      <c r="EW33" s="48"/>
      <c r="EX33" s="48"/>
      <c r="EY33" s="48"/>
      <c r="EZ33" s="48"/>
      <c r="FA33" s="48"/>
      <c r="FB33" s="48"/>
      <c r="FC33" s="48"/>
      <c r="FD33" s="48"/>
      <c r="FE33" s="48"/>
      <c r="FF33" s="48"/>
      <c r="FG33" s="48"/>
      <c r="FH33" s="48"/>
      <c r="FI33" s="48"/>
      <c r="FJ33" s="48"/>
      <c r="FK33" s="48"/>
      <c r="FL33" s="48"/>
      <c r="FM33" s="48"/>
      <c r="FN33" s="48"/>
      <c r="FO33" s="48"/>
      <c r="FP33" s="48"/>
      <c r="FQ33" s="48"/>
      <c r="FR33" s="48"/>
      <c r="FS33" s="48"/>
      <c r="FT33" s="48"/>
      <c r="FU33" s="48"/>
      <c r="FV33" s="48"/>
      <c r="FW33" s="48"/>
      <c r="FX33" s="48"/>
      <c r="FY33" s="48"/>
      <c r="FZ33" s="48"/>
      <c r="GA33" s="48"/>
      <c r="GB33" s="48"/>
      <c r="GC33" s="48"/>
      <c r="GD33" s="48"/>
      <c r="GE33" s="48"/>
      <c r="GF33" s="48"/>
      <c r="GG33" s="48"/>
      <c r="GH33" s="48"/>
      <c r="GI33" s="48"/>
      <c r="GJ33" s="48"/>
      <c r="GK33" s="48"/>
      <c r="GL33" s="48"/>
      <c r="GM33" s="48"/>
      <c r="GN33" s="48"/>
      <c r="GO33" s="48"/>
      <c r="GP33" s="48"/>
      <c r="GQ33" s="48"/>
      <c r="GR33" s="48"/>
      <c r="GS33" s="48"/>
      <c r="GT33" s="48"/>
      <c r="GU33" s="48"/>
      <c r="GV33" s="48"/>
      <c r="GW33" s="48"/>
      <c r="GX33" s="48"/>
      <c r="GY33" s="48"/>
      <c r="GZ33" s="48"/>
      <c r="HA33" s="48"/>
      <c r="HB33" s="48"/>
      <c r="HC33" s="48"/>
      <c r="HD33" s="48"/>
      <c r="HE33" s="48"/>
      <c r="HF33" s="48"/>
      <c r="HG33" s="48"/>
      <c r="HH33" s="48"/>
      <c r="HI33" s="48"/>
      <c r="HJ33" s="48"/>
      <c r="HK33" s="48"/>
      <c r="HL33" s="48"/>
      <c r="HM33" s="48"/>
      <c r="HN33" s="48"/>
      <c r="HO33" s="48"/>
      <c r="HP33" s="48"/>
      <c r="HQ33" s="48"/>
      <c r="HR33" s="48"/>
      <c r="HS33" s="48"/>
      <c r="HT33" s="48"/>
      <c r="HU33" s="48"/>
      <c r="HV33" s="48"/>
      <c r="HW33" s="48"/>
      <c r="HX33" s="48"/>
      <c r="HY33" s="48"/>
      <c r="HZ33" s="48"/>
      <c r="IA33" s="48"/>
      <c r="IB33" s="48"/>
      <c r="IC33" s="48"/>
      <c r="ID33" s="48"/>
      <c r="IE33" s="48"/>
      <c r="IF33" s="48"/>
      <c r="IG33" s="48"/>
      <c r="IH33" s="48"/>
      <c r="II33" s="48"/>
      <c r="IJ33" s="48"/>
      <c r="IK33" s="48"/>
      <c r="IL33" s="48"/>
      <c r="IM33" s="48"/>
      <c r="IN33" s="48"/>
      <c r="IO33" s="48"/>
      <c r="IP33" s="48"/>
      <c r="IQ33" s="48"/>
      <c r="IR33" s="48"/>
      <c r="IS33" s="48"/>
      <c r="IT33" s="48"/>
      <c r="IU33" s="48"/>
      <c r="IV33" s="48"/>
    </row>
    <row r="34" spans="1:256" ht="19.5" customHeight="1" x14ac:dyDescent="0.2">
      <c r="A34" s="94" t="s">
        <v>65</v>
      </c>
      <c r="B34" s="94"/>
      <c r="C34" s="94"/>
      <c r="D34" s="94"/>
      <c r="E34" s="94"/>
      <c r="F34" s="94"/>
      <c r="G34" s="94"/>
      <c r="H34" s="94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8"/>
      <c r="BM34" s="48"/>
      <c r="BN34" s="48"/>
      <c r="BO34" s="48"/>
      <c r="BP34" s="48"/>
      <c r="BQ34" s="48"/>
      <c r="BR34" s="48"/>
      <c r="BS34" s="48"/>
      <c r="BT34" s="48"/>
      <c r="BU34" s="48"/>
      <c r="BV34" s="48"/>
      <c r="BW34" s="48"/>
      <c r="BX34" s="48"/>
      <c r="BY34" s="48"/>
      <c r="BZ34" s="48"/>
      <c r="CA34" s="48"/>
      <c r="CB34" s="48"/>
      <c r="CC34" s="48"/>
      <c r="CD34" s="48"/>
      <c r="CE34" s="48"/>
      <c r="CF34" s="48"/>
      <c r="CG34" s="48"/>
      <c r="CH34" s="48"/>
      <c r="CI34" s="48"/>
      <c r="CJ34" s="48"/>
      <c r="CK34" s="48"/>
      <c r="CL34" s="48"/>
      <c r="CM34" s="48"/>
      <c r="CN34" s="48"/>
      <c r="CO34" s="48"/>
      <c r="CP34" s="48"/>
      <c r="CQ34" s="48"/>
      <c r="CR34" s="48"/>
      <c r="CS34" s="48"/>
      <c r="CT34" s="48"/>
      <c r="CU34" s="48"/>
      <c r="CV34" s="48"/>
      <c r="CW34" s="48"/>
      <c r="CX34" s="48"/>
      <c r="CY34" s="48"/>
      <c r="CZ34" s="48"/>
      <c r="DA34" s="48"/>
      <c r="DB34" s="48"/>
      <c r="DC34" s="48"/>
      <c r="DD34" s="48"/>
      <c r="DE34" s="48"/>
      <c r="DF34" s="48"/>
      <c r="DG34" s="48"/>
      <c r="DH34" s="48"/>
      <c r="DI34" s="48"/>
      <c r="DJ34" s="48"/>
      <c r="DK34" s="48"/>
      <c r="DL34" s="48"/>
      <c r="DM34" s="48"/>
      <c r="DN34" s="48"/>
      <c r="DO34" s="48"/>
      <c r="DP34" s="48"/>
      <c r="DQ34" s="48"/>
      <c r="DR34" s="48"/>
      <c r="DS34" s="48"/>
      <c r="DT34" s="48"/>
      <c r="DU34" s="48"/>
      <c r="DV34" s="48"/>
      <c r="DW34" s="48"/>
      <c r="DX34" s="48"/>
      <c r="DY34" s="48"/>
      <c r="DZ34" s="48"/>
      <c r="EA34" s="48"/>
      <c r="EB34" s="48"/>
      <c r="EC34" s="48"/>
      <c r="ED34" s="48"/>
      <c r="EE34" s="48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48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48"/>
      <c r="FG34" s="48"/>
      <c r="FH34" s="48"/>
      <c r="FI34" s="48"/>
      <c r="FJ34" s="48"/>
      <c r="FK34" s="48"/>
      <c r="FL34" s="48"/>
      <c r="FM34" s="48"/>
      <c r="FN34" s="48"/>
      <c r="FO34" s="48"/>
      <c r="FP34" s="48"/>
      <c r="FQ34" s="48"/>
      <c r="FR34" s="48"/>
      <c r="FS34" s="48"/>
      <c r="FT34" s="48"/>
      <c r="FU34" s="48"/>
      <c r="FV34" s="48"/>
      <c r="FW34" s="48"/>
      <c r="FX34" s="48"/>
      <c r="FY34" s="48"/>
      <c r="FZ34" s="48"/>
      <c r="GA34" s="48"/>
      <c r="GB34" s="48"/>
      <c r="GC34" s="48"/>
      <c r="GD34" s="48"/>
      <c r="GE34" s="48"/>
      <c r="GF34" s="48"/>
      <c r="GG34" s="48"/>
      <c r="GH34" s="48"/>
      <c r="GI34" s="48"/>
      <c r="GJ34" s="48"/>
      <c r="GK34" s="48"/>
      <c r="GL34" s="48"/>
      <c r="GM34" s="48"/>
      <c r="GN34" s="48"/>
      <c r="GO34" s="48"/>
      <c r="GP34" s="48"/>
      <c r="GQ34" s="48"/>
      <c r="GR34" s="48"/>
      <c r="GS34" s="48"/>
      <c r="GT34" s="48"/>
      <c r="GU34" s="48"/>
      <c r="GV34" s="48"/>
      <c r="GW34" s="48"/>
      <c r="GX34" s="48"/>
      <c r="GY34" s="48"/>
      <c r="GZ34" s="48"/>
      <c r="HA34" s="48"/>
      <c r="HB34" s="48"/>
      <c r="HC34" s="48"/>
      <c r="HD34" s="48"/>
      <c r="HE34" s="48"/>
      <c r="HF34" s="48"/>
      <c r="HG34" s="48"/>
      <c r="HH34" s="48"/>
      <c r="HI34" s="48"/>
      <c r="HJ34" s="48"/>
      <c r="HK34" s="48"/>
      <c r="HL34" s="48"/>
      <c r="HM34" s="48"/>
      <c r="HN34" s="48"/>
      <c r="HO34" s="48"/>
      <c r="HP34" s="48"/>
      <c r="HQ34" s="48"/>
      <c r="HR34" s="48"/>
      <c r="HS34" s="48"/>
      <c r="HT34" s="48"/>
      <c r="HU34" s="48"/>
      <c r="HV34" s="48"/>
      <c r="HW34" s="48"/>
      <c r="HX34" s="48"/>
      <c r="HY34" s="48"/>
      <c r="HZ34" s="48"/>
      <c r="IA34" s="48"/>
      <c r="IB34" s="48"/>
      <c r="IC34" s="48"/>
      <c r="ID34" s="48"/>
      <c r="IE34" s="48"/>
      <c r="IF34" s="48"/>
      <c r="IG34" s="48"/>
      <c r="IH34" s="48"/>
      <c r="II34" s="48"/>
      <c r="IJ34" s="48"/>
      <c r="IK34" s="48"/>
      <c r="IL34" s="48"/>
      <c r="IM34" s="48"/>
      <c r="IN34" s="48"/>
      <c r="IO34" s="48"/>
      <c r="IP34" s="48"/>
      <c r="IQ34" s="48"/>
      <c r="IR34" s="48"/>
      <c r="IS34" s="48"/>
      <c r="IT34" s="48"/>
      <c r="IU34" s="48"/>
      <c r="IV34" s="48"/>
    </row>
    <row r="35" spans="1:256" ht="14.25" x14ac:dyDescent="0.2"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  <c r="BM35" s="48"/>
      <c r="BN35" s="48"/>
      <c r="BO35" s="48"/>
      <c r="BP35" s="48"/>
      <c r="BQ35" s="48"/>
      <c r="BR35" s="48"/>
      <c r="BS35" s="48"/>
      <c r="BT35" s="48"/>
      <c r="BU35" s="48"/>
      <c r="BV35" s="48"/>
      <c r="BW35" s="48"/>
      <c r="BX35" s="48"/>
      <c r="BY35" s="48"/>
      <c r="BZ35" s="48"/>
      <c r="CA35" s="48"/>
      <c r="CB35" s="48"/>
      <c r="CC35" s="48"/>
      <c r="CD35" s="48"/>
      <c r="CE35" s="48"/>
      <c r="CF35" s="48"/>
      <c r="CG35" s="48"/>
      <c r="CH35" s="48"/>
      <c r="CI35" s="48"/>
      <c r="CJ35" s="48"/>
      <c r="CK35" s="48"/>
      <c r="CL35" s="48"/>
      <c r="CM35" s="48"/>
      <c r="CN35" s="48"/>
      <c r="CO35" s="48"/>
      <c r="CP35" s="48"/>
      <c r="CQ35" s="48"/>
      <c r="CR35" s="48"/>
      <c r="CS35" s="48"/>
      <c r="CT35" s="48"/>
      <c r="CU35" s="48"/>
      <c r="CV35" s="48"/>
      <c r="CW35" s="48"/>
      <c r="CX35" s="48"/>
      <c r="CY35" s="48"/>
      <c r="CZ35" s="48"/>
      <c r="DA35" s="48"/>
      <c r="DB35" s="48"/>
      <c r="DC35" s="48"/>
      <c r="DD35" s="48"/>
      <c r="DE35" s="48"/>
      <c r="DF35" s="48"/>
      <c r="DG35" s="48"/>
      <c r="DH35" s="48"/>
      <c r="DI35" s="48"/>
      <c r="DJ35" s="48"/>
      <c r="DK35" s="48"/>
      <c r="DL35" s="48"/>
      <c r="DM35" s="48"/>
      <c r="DN35" s="48"/>
      <c r="DO35" s="48"/>
      <c r="DP35" s="48"/>
      <c r="DQ35" s="48"/>
      <c r="DR35" s="48"/>
      <c r="DS35" s="48"/>
      <c r="DT35" s="48"/>
      <c r="DU35" s="48"/>
      <c r="DV35" s="48"/>
      <c r="DW35" s="48"/>
      <c r="DX35" s="48"/>
      <c r="DY35" s="48"/>
      <c r="DZ35" s="48"/>
      <c r="EA35" s="48"/>
      <c r="EB35" s="48"/>
      <c r="EC35" s="48"/>
      <c r="ED35" s="48"/>
      <c r="EE35" s="48"/>
      <c r="EF35" s="48"/>
      <c r="EG35" s="48"/>
      <c r="EH35" s="48"/>
      <c r="EI35" s="48"/>
      <c r="EJ35" s="48"/>
      <c r="EK35" s="48"/>
      <c r="EL35" s="48"/>
      <c r="EM35" s="48"/>
      <c r="EN35" s="48"/>
      <c r="EO35" s="48"/>
      <c r="EP35" s="48"/>
      <c r="EQ35" s="48"/>
      <c r="ER35" s="48"/>
      <c r="ES35" s="48"/>
      <c r="ET35" s="48"/>
      <c r="EU35" s="48"/>
      <c r="EV35" s="48"/>
      <c r="EW35" s="48"/>
      <c r="EX35" s="48"/>
      <c r="EY35" s="48"/>
      <c r="EZ35" s="48"/>
      <c r="FA35" s="48"/>
      <c r="FB35" s="48"/>
      <c r="FC35" s="48"/>
      <c r="FD35" s="48"/>
      <c r="FE35" s="48"/>
      <c r="FF35" s="48"/>
      <c r="FG35" s="48"/>
      <c r="FH35" s="48"/>
      <c r="FI35" s="48"/>
      <c r="FJ35" s="48"/>
      <c r="FK35" s="48"/>
      <c r="FL35" s="48"/>
      <c r="FM35" s="48"/>
      <c r="FN35" s="48"/>
      <c r="FO35" s="48"/>
      <c r="FP35" s="48"/>
      <c r="FQ35" s="48"/>
      <c r="FR35" s="48"/>
      <c r="FS35" s="48"/>
      <c r="FT35" s="48"/>
      <c r="FU35" s="48"/>
      <c r="FV35" s="48"/>
      <c r="FW35" s="48"/>
      <c r="FX35" s="48"/>
      <c r="FY35" s="48"/>
      <c r="FZ35" s="48"/>
      <c r="GA35" s="48"/>
      <c r="GB35" s="48"/>
      <c r="GC35" s="48"/>
      <c r="GD35" s="48"/>
      <c r="GE35" s="48"/>
      <c r="GF35" s="48"/>
      <c r="GG35" s="48"/>
      <c r="GH35" s="48"/>
      <c r="GI35" s="48"/>
      <c r="GJ35" s="48"/>
      <c r="GK35" s="48"/>
      <c r="GL35" s="48"/>
      <c r="GM35" s="48"/>
      <c r="GN35" s="48"/>
      <c r="GO35" s="48"/>
      <c r="GP35" s="48"/>
      <c r="GQ35" s="48"/>
      <c r="GR35" s="48"/>
      <c r="GS35" s="48"/>
      <c r="GT35" s="48"/>
      <c r="GU35" s="48"/>
      <c r="GV35" s="48"/>
      <c r="GW35" s="48"/>
      <c r="GX35" s="48"/>
      <c r="GY35" s="48"/>
      <c r="GZ35" s="48"/>
      <c r="HA35" s="48"/>
      <c r="HB35" s="48"/>
      <c r="HC35" s="48"/>
      <c r="HD35" s="48"/>
      <c r="HE35" s="48"/>
      <c r="HF35" s="48"/>
      <c r="HG35" s="48"/>
      <c r="HH35" s="48"/>
      <c r="HI35" s="48"/>
      <c r="HJ35" s="48"/>
      <c r="HK35" s="48"/>
      <c r="HL35" s="48"/>
      <c r="HM35" s="48"/>
      <c r="HN35" s="48"/>
      <c r="HO35" s="48"/>
      <c r="HP35" s="48"/>
      <c r="HQ35" s="48"/>
      <c r="HR35" s="48"/>
      <c r="HS35" s="48"/>
      <c r="HT35" s="48"/>
      <c r="HU35" s="48"/>
      <c r="HV35" s="48"/>
      <c r="HW35" s="48"/>
      <c r="HX35" s="48"/>
      <c r="HY35" s="48"/>
      <c r="HZ35" s="48"/>
      <c r="IA35" s="48"/>
      <c r="IB35" s="48"/>
      <c r="IC35" s="48"/>
      <c r="ID35" s="48"/>
      <c r="IE35" s="48"/>
      <c r="IF35" s="48"/>
      <c r="IG35" s="48"/>
      <c r="IH35" s="48"/>
      <c r="II35" s="48"/>
      <c r="IJ35" s="48"/>
      <c r="IK35" s="48"/>
      <c r="IL35" s="48"/>
      <c r="IM35" s="48"/>
      <c r="IN35" s="48"/>
      <c r="IO35" s="48"/>
      <c r="IP35" s="48"/>
      <c r="IQ35" s="48"/>
      <c r="IR35" s="48"/>
      <c r="IS35" s="48"/>
      <c r="IT35" s="48"/>
      <c r="IU35" s="48"/>
      <c r="IV35" s="48"/>
    </row>
    <row r="36" spans="1:256" ht="14.25" x14ac:dyDescent="0.2"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  <c r="BM36" s="48"/>
      <c r="BN36" s="48"/>
      <c r="BO36" s="48"/>
      <c r="BP36" s="48"/>
      <c r="BQ36" s="48"/>
      <c r="BR36" s="48"/>
      <c r="BS36" s="48"/>
      <c r="BT36" s="48"/>
      <c r="BU36" s="48"/>
      <c r="BV36" s="48"/>
      <c r="BW36" s="48"/>
      <c r="BX36" s="48"/>
      <c r="BY36" s="48"/>
      <c r="BZ36" s="48"/>
      <c r="CA36" s="48"/>
      <c r="CB36" s="48"/>
      <c r="CC36" s="48"/>
      <c r="CD36" s="48"/>
      <c r="CE36" s="48"/>
      <c r="CF36" s="48"/>
      <c r="CG36" s="48"/>
      <c r="CH36" s="48"/>
      <c r="CI36" s="48"/>
      <c r="CJ36" s="48"/>
      <c r="CK36" s="48"/>
      <c r="CL36" s="48"/>
      <c r="CM36" s="48"/>
      <c r="CN36" s="48"/>
      <c r="CO36" s="48"/>
      <c r="CP36" s="48"/>
      <c r="CQ36" s="48"/>
      <c r="CR36" s="48"/>
      <c r="CS36" s="48"/>
      <c r="CT36" s="48"/>
      <c r="CU36" s="48"/>
      <c r="CV36" s="48"/>
      <c r="CW36" s="48"/>
      <c r="CX36" s="48"/>
      <c r="CY36" s="48"/>
      <c r="CZ36" s="48"/>
      <c r="DA36" s="48"/>
      <c r="DB36" s="48"/>
      <c r="DC36" s="48"/>
      <c r="DD36" s="48"/>
      <c r="DE36" s="48"/>
      <c r="DF36" s="48"/>
      <c r="DG36" s="48"/>
      <c r="DH36" s="48"/>
      <c r="DI36" s="48"/>
      <c r="DJ36" s="48"/>
      <c r="DK36" s="48"/>
      <c r="DL36" s="48"/>
      <c r="DM36" s="48"/>
      <c r="DN36" s="48"/>
      <c r="DO36" s="48"/>
      <c r="DP36" s="48"/>
      <c r="DQ36" s="48"/>
      <c r="DR36" s="48"/>
      <c r="DS36" s="48"/>
      <c r="DT36" s="48"/>
      <c r="DU36" s="48"/>
      <c r="DV36" s="48"/>
      <c r="DW36" s="48"/>
      <c r="DX36" s="48"/>
      <c r="DY36" s="48"/>
      <c r="DZ36" s="48"/>
      <c r="EA36" s="48"/>
      <c r="EB36" s="48"/>
      <c r="EC36" s="48"/>
      <c r="ED36" s="48"/>
      <c r="EE36" s="48"/>
      <c r="EF36" s="48"/>
      <c r="EG36" s="48"/>
      <c r="EH36" s="48"/>
      <c r="EI36" s="48"/>
      <c r="EJ36" s="48"/>
      <c r="EK36" s="48"/>
      <c r="EL36" s="48"/>
      <c r="EM36" s="48"/>
      <c r="EN36" s="48"/>
      <c r="EO36" s="48"/>
      <c r="EP36" s="48"/>
      <c r="EQ36" s="48"/>
      <c r="ER36" s="48"/>
      <c r="ES36" s="48"/>
      <c r="ET36" s="48"/>
      <c r="EU36" s="48"/>
      <c r="EV36" s="48"/>
      <c r="EW36" s="48"/>
      <c r="EX36" s="48"/>
      <c r="EY36" s="48"/>
      <c r="EZ36" s="48"/>
      <c r="FA36" s="48"/>
      <c r="FB36" s="48"/>
      <c r="FC36" s="48"/>
      <c r="FD36" s="48"/>
      <c r="FE36" s="48"/>
      <c r="FF36" s="48"/>
      <c r="FG36" s="48"/>
      <c r="FH36" s="48"/>
      <c r="FI36" s="48"/>
      <c r="FJ36" s="48"/>
      <c r="FK36" s="48"/>
      <c r="FL36" s="48"/>
      <c r="FM36" s="48"/>
      <c r="FN36" s="48"/>
      <c r="FO36" s="48"/>
      <c r="FP36" s="48"/>
      <c r="FQ36" s="48"/>
      <c r="FR36" s="48"/>
      <c r="FS36" s="48"/>
      <c r="FT36" s="48"/>
      <c r="FU36" s="48"/>
      <c r="FV36" s="48"/>
      <c r="FW36" s="48"/>
      <c r="FX36" s="48"/>
      <c r="FY36" s="48"/>
      <c r="FZ36" s="48"/>
      <c r="GA36" s="48"/>
      <c r="GB36" s="48"/>
      <c r="GC36" s="48"/>
      <c r="GD36" s="48"/>
      <c r="GE36" s="48"/>
      <c r="GF36" s="48"/>
      <c r="GG36" s="48"/>
      <c r="GH36" s="48"/>
      <c r="GI36" s="48"/>
      <c r="GJ36" s="48"/>
      <c r="GK36" s="48"/>
      <c r="GL36" s="48"/>
      <c r="GM36" s="48"/>
      <c r="GN36" s="48"/>
      <c r="GO36" s="48"/>
      <c r="GP36" s="48"/>
      <c r="GQ36" s="48"/>
      <c r="GR36" s="48"/>
      <c r="GS36" s="48"/>
      <c r="GT36" s="48"/>
      <c r="GU36" s="48"/>
      <c r="GV36" s="48"/>
      <c r="GW36" s="48"/>
      <c r="GX36" s="48"/>
      <c r="GY36" s="48"/>
      <c r="GZ36" s="48"/>
      <c r="HA36" s="48"/>
      <c r="HB36" s="48"/>
      <c r="HC36" s="48"/>
      <c r="HD36" s="48"/>
      <c r="HE36" s="48"/>
      <c r="HF36" s="48"/>
      <c r="HG36" s="48"/>
      <c r="HH36" s="48"/>
      <c r="HI36" s="48"/>
      <c r="HJ36" s="48"/>
      <c r="HK36" s="48"/>
      <c r="HL36" s="48"/>
      <c r="HM36" s="48"/>
      <c r="HN36" s="48"/>
      <c r="HO36" s="48"/>
      <c r="HP36" s="48"/>
      <c r="HQ36" s="48"/>
      <c r="HR36" s="48"/>
      <c r="HS36" s="48"/>
      <c r="HT36" s="48"/>
      <c r="HU36" s="48"/>
      <c r="HV36" s="48"/>
      <c r="HW36" s="48"/>
      <c r="HX36" s="48"/>
      <c r="HY36" s="48"/>
      <c r="HZ36" s="48"/>
      <c r="IA36" s="48"/>
      <c r="IB36" s="48"/>
      <c r="IC36" s="48"/>
      <c r="ID36" s="48"/>
      <c r="IE36" s="48"/>
      <c r="IF36" s="48"/>
      <c r="IG36" s="48"/>
      <c r="IH36" s="48"/>
      <c r="II36" s="48"/>
      <c r="IJ36" s="48"/>
      <c r="IK36" s="48"/>
      <c r="IL36" s="48"/>
      <c r="IM36" s="48"/>
      <c r="IN36" s="48"/>
      <c r="IO36" s="48"/>
      <c r="IP36" s="48"/>
      <c r="IQ36" s="48"/>
      <c r="IR36" s="48"/>
      <c r="IS36" s="48"/>
      <c r="IT36" s="48"/>
      <c r="IU36" s="48"/>
      <c r="IV36" s="48"/>
    </row>
    <row r="37" spans="1:256" ht="14.25" x14ac:dyDescent="0.2"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  <c r="BE37" s="48"/>
      <c r="BF37" s="48"/>
      <c r="BG37" s="48"/>
      <c r="BH37" s="48"/>
      <c r="BI37" s="48"/>
      <c r="BJ37" s="48"/>
      <c r="BK37" s="48"/>
      <c r="BL37" s="48"/>
      <c r="BM37" s="48"/>
      <c r="BN37" s="48"/>
      <c r="BO37" s="48"/>
      <c r="BP37" s="48"/>
      <c r="BQ37" s="48"/>
      <c r="BR37" s="48"/>
      <c r="BS37" s="48"/>
      <c r="BT37" s="48"/>
      <c r="BU37" s="48"/>
      <c r="BV37" s="48"/>
      <c r="BW37" s="48"/>
      <c r="BX37" s="48"/>
      <c r="BY37" s="48"/>
      <c r="BZ37" s="48"/>
      <c r="CA37" s="48"/>
      <c r="CB37" s="48"/>
      <c r="CC37" s="48"/>
      <c r="CD37" s="48"/>
      <c r="CE37" s="48"/>
      <c r="CF37" s="48"/>
      <c r="CG37" s="48"/>
      <c r="CH37" s="48"/>
      <c r="CI37" s="48"/>
      <c r="CJ37" s="48"/>
      <c r="CK37" s="48"/>
      <c r="CL37" s="48"/>
      <c r="CM37" s="48"/>
      <c r="CN37" s="48"/>
      <c r="CO37" s="48"/>
      <c r="CP37" s="48"/>
      <c r="CQ37" s="48"/>
      <c r="CR37" s="48"/>
      <c r="CS37" s="48"/>
      <c r="CT37" s="48"/>
      <c r="CU37" s="48"/>
      <c r="CV37" s="48"/>
      <c r="CW37" s="48"/>
      <c r="CX37" s="48"/>
      <c r="CY37" s="48"/>
      <c r="CZ37" s="48"/>
      <c r="DA37" s="48"/>
      <c r="DB37" s="48"/>
      <c r="DC37" s="48"/>
      <c r="DD37" s="48"/>
      <c r="DE37" s="48"/>
      <c r="DF37" s="48"/>
      <c r="DG37" s="48"/>
      <c r="DH37" s="48"/>
      <c r="DI37" s="48"/>
      <c r="DJ37" s="48"/>
      <c r="DK37" s="48"/>
      <c r="DL37" s="48"/>
      <c r="DM37" s="48"/>
      <c r="DN37" s="48"/>
      <c r="DO37" s="48"/>
      <c r="DP37" s="48"/>
      <c r="DQ37" s="48"/>
      <c r="DR37" s="48"/>
      <c r="DS37" s="48"/>
      <c r="DT37" s="48"/>
      <c r="DU37" s="48"/>
      <c r="DV37" s="48"/>
      <c r="DW37" s="48"/>
      <c r="DX37" s="48"/>
      <c r="DY37" s="48"/>
      <c r="DZ37" s="48"/>
      <c r="EA37" s="48"/>
      <c r="EB37" s="48"/>
      <c r="EC37" s="48"/>
      <c r="ED37" s="48"/>
      <c r="EE37" s="48"/>
      <c r="EF37" s="48"/>
      <c r="EG37" s="48"/>
      <c r="EH37" s="48"/>
      <c r="EI37" s="48"/>
      <c r="EJ37" s="48"/>
      <c r="EK37" s="48"/>
      <c r="EL37" s="48"/>
      <c r="EM37" s="48"/>
      <c r="EN37" s="48"/>
      <c r="EO37" s="48"/>
      <c r="EP37" s="48"/>
      <c r="EQ37" s="48"/>
      <c r="ER37" s="48"/>
      <c r="ES37" s="48"/>
      <c r="ET37" s="48"/>
      <c r="EU37" s="48"/>
      <c r="EV37" s="48"/>
      <c r="EW37" s="48"/>
      <c r="EX37" s="48"/>
      <c r="EY37" s="48"/>
      <c r="EZ37" s="48"/>
      <c r="FA37" s="48"/>
      <c r="FB37" s="48"/>
      <c r="FC37" s="48"/>
      <c r="FD37" s="48"/>
      <c r="FE37" s="48"/>
      <c r="FF37" s="48"/>
      <c r="FG37" s="48"/>
      <c r="FH37" s="48"/>
      <c r="FI37" s="48"/>
      <c r="FJ37" s="48"/>
      <c r="FK37" s="48"/>
      <c r="FL37" s="48"/>
      <c r="FM37" s="48"/>
      <c r="FN37" s="48"/>
      <c r="FO37" s="48"/>
      <c r="FP37" s="48"/>
      <c r="FQ37" s="48"/>
      <c r="FR37" s="48"/>
      <c r="FS37" s="48"/>
      <c r="FT37" s="48"/>
      <c r="FU37" s="48"/>
      <c r="FV37" s="48"/>
      <c r="FW37" s="48"/>
      <c r="FX37" s="48"/>
      <c r="FY37" s="48"/>
      <c r="FZ37" s="48"/>
      <c r="GA37" s="48"/>
      <c r="GB37" s="48"/>
      <c r="GC37" s="48"/>
      <c r="GD37" s="48"/>
      <c r="GE37" s="48"/>
      <c r="GF37" s="48"/>
      <c r="GG37" s="48"/>
      <c r="GH37" s="48"/>
      <c r="GI37" s="48"/>
      <c r="GJ37" s="48"/>
      <c r="GK37" s="48"/>
      <c r="GL37" s="48"/>
      <c r="GM37" s="48"/>
      <c r="GN37" s="48"/>
      <c r="GO37" s="48"/>
      <c r="GP37" s="48"/>
      <c r="GQ37" s="48"/>
      <c r="GR37" s="48"/>
      <c r="GS37" s="48"/>
      <c r="GT37" s="48"/>
      <c r="GU37" s="48"/>
      <c r="GV37" s="48"/>
      <c r="GW37" s="48"/>
      <c r="GX37" s="48"/>
      <c r="GY37" s="48"/>
      <c r="GZ37" s="48"/>
      <c r="HA37" s="48"/>
      <c r="HB37" s="48"/>
      <c r="HC37" s="48"/>
      <c r="HD37" s="48"/>
      <c r="HE37" s="48"/>
      <c r="HF37" s="48"/>
      <c r="HG37" s="48"/>
      <c r="HH37" s="48"/>
      <c r="HI37" s="48"/>
      <c r="HJ37" s="48"/>
      <c r="HK37" s="48"/>
      <c r="HL37" s="48"/>
      <c r="HM37" s="48"/>
      <c r="HN37" s="48"/>
      <c r="HO37" s="48"/>
      <c r="HP37" s="48"/>
      <c r="HQ37" s="48"/>
      <c r="HR37" s="48"/>
      <c r="HS37" s="48"/>
      <c r="HT37" s="48"/>
      <c r="HU37" s="48"/>
      <c r="HV37" s="48"/>
      <c r="HW37" s="48"/>
      <c r="HX37" s="48"/>
      <c r="HY37" s="48"/>
      <c r="HZ37" s="48"/>
      <c r="IA37" s="48"/>
      <c r="IB37" s="48"/>
      <c r="IC37" s="48"/>
      <c r="ID37" s="48"/>
      <c r="IE37" s="48"/>
      <c r="IF37" s="48"/>
      <c r="IG37" s="48"/>
      <c r="IH37" s="48"/>
      <c r="II37" s="48"/>
      <c r="IJ37" s="48"/>
      <c r="IK37" s="48"/>
      <c r="IL37" s="48"/>
      <c r="IM37" s="48"/>
      <c r="IN37" s="48"/>
      <c r="IO37" s="48"/>
      <c r="IP37" s="48"/>
      <c r="IQ37" s="48"/>
      <c r="IR37" s="48"/>
      <c r="IS37" s="48"/>
      <c r="IT37" s="48"/>
      <c r="IU37" s="48"/>
      <c r="IV37" s="48"/>
    </row>
    <row r="38" spans="1:256" ht="14.25" x14ac:dyDescent="0.2"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  <c r="BI38" s="48"/>
      <c r="BJ38" s="48"/>
      <c r="BK38" s="48"/>
      <c r="BL38" s="48"/>
      <c r="BM38" s="48"/>
      <c r="BN38" s="48"/>
      <c r="BO38" s="48"/>
      <c r="BP38" s="48"/>
      <c r="BQ38" s="48"/>
      <c r="BR38" s="48"/>
      <c r="BS38" s="48"/>
      <c r="BT38" s="48"/>
      <c r="BU38" s="48"/>
      <c r="BV38" s="48"/>
      <c r="BW38" s="48"/>
      <c r="BX38" s="48"/>
      <c r="BY38" s="48"/>
      <c r="BZ38" s="48"/>
      <c r="CA38" s="48"/>
      <c r="CB38" s="48"/>
      <c r="CC38" s="48"/>
      <c r="CD38" s="48"/>
      <c r="CE38" s="48"/>
      <c r="CF38" s="48"/>
      <c r="CG38" s="48"/>
      <c r="CH38" s="48"/>
      <c r="CI38" s="48"/>
      <c r="CJ38" s="48"/>
      <c r="CK38" s="48"/>
      <c r="CL38" s="48"/>
      <c r="CM38" s="48"/>
      <c r="CN38" s="48"/>
      <c r="CO38" s="48"/>
      <c r="CP38" s="48"/>
      <c r="CQ38" s="48"/>
      <c r="CR38" s="48"/>
      <c r="CS38" s="48"/>
      <c r="CT38" s="48"/>
      <c r="CU38" s="48"/>
      <c r="CV38" s="48"/>
      <c r="CW38" s="48"/>
      <c r="CX38" s="48"/>
      <c r="CY38" s="48"/>
      <c r="CZ38" s="48"/>
      <c r="DA38" s="48"/>
      <c r="DB38" s="48"/>
      <c r="DC38" s="48"/>
      <c r="DD38" s="48"/>
      <c r="DE38" s="48"/>
      <c r="DF38" s="48"/>
      <c r="DG38" s="48"/>
      <c r="DH38" s="48"/>
      <c r="DI38" s="48"/>
      <c r="DJ38" s="48"/>
      <c r="DK38" s="48"/>
      <c r="DL38" s="48"/>
      <c r="DM38" s="48"/>
      <c r="DN38" s="48"/>
      <c r="DO38" s="48"/>
      <c r="DP38" s="48"/>
      <c r="DQ38" s="48"/>
      <c r="DR38" s="48"/>
      <c r="DS38" s="48"/>
      <c r="DT38" s="48"/>
      <c r="DU38" s="48"/>
      <c r="DV38" s="48"/>
      <c r="DW38" s="48"/>
      <c r="DX38" s="48"/>
      <c r="DY38" s="48"/>
      <c r="DZ38" s="48"/>
      <c r="EA38" s="48"/>
      <c r="EB38" s="48"/>
      <c r="EC38" s="48"/>
      <c r="ED38" s="48"/>
      <c r="EE38" s="48"/>
      <c r="EF38" s="48"/>
      <c r="EG38" s="48"/>
      <c r="EH38" s="48"/>
      <c r="EI38" s="48"/>
      <c r="EJ38" s="48"/>
      <c r="EK38" s="48"/>
      <c r="EL38" s="48"/>
      <c r="EM38" s="48"/>
      <c r="EN38" s="48"/>
      <c r="EO38" s="48"/>
      <c r="EP38" s="48"/>
      <c r="EQ38" s="48"/>
      <c r="ER38" s="48"/>
      <c r="ES38" s="48"/>
      <c r="ET38" s="48"/>
      <c r="EU38" s="48"/>
      <c r="EV38" s="48"/>
      <c r="EW38" s="48"/>
      <c r="EX38" s="48"/>
      <c r="EY38" s="48"/>
      <c r="EZ38" s="48"/>
      <c r="FA38" s="48"/>
      <c r="FB38" s="48"/>
      <c r="FC38" s="48"/>
      <c r="FD38" s="48"/>
      <c r="FE38" s="48"/>
      <c r="FF38" s="48"/>
      <c r="FG38" s="48"/>
      <c r="FH38" s="48"/>
      <c r="FI38" s="48"/>
      <c r="FJ38" s="48"/>
      <c r="FK38" s="48"/>
      <c r="FL38" s="48"/>
      <c r="FM38" s="48"/>
      <c r="FN38" s="48"/>
      <c r="FO38" s="48"/>
      <c r="FP38" s="48"/>
      <c r="FQ38" s="48"/>
      <c r="FR38" s="48"/>
      <c r="FS38" s="48"/>
      <c r="FT38" s="48"/>
      <c r="FU38" s="48"/>
      <c r="FV38" s="48"/>
      <c r="FW38" s="48"/>
      <c r="FX38" s="48"/>
      <c r="FY38" s="48"/>
      <c r="FZ38" s="48"/>
      <c r="GA38" s="48"/>
      <c r="GB38" s="48"/>
      <c r="GC38" s="48"/>
      <c r="GD38" s="48"/>
      <c r="GE38" s="48"/>
      <c r="GF38" s="48"/>
      <c r="GG38" s="48"/>
      <c r="GH38" s="48"/>
      <c r="GI38" s="48"/>
      <c r="GJ38" s="48"/>
      <c r="GK38" s="48"/>
      <c r="GL38" s="48"/>
      <c r="GM38" s="48"/>
      <c r="GN38" s="48"/>
      <c r="GO38" s="48"/>
      <c r="GP38" s="48"/>
      <c r="GQ38" s="48"/>
      <c r="GR38" s="48"/>
      <c r="GS38" s="48"/>
      <c r="GT38" s="48"/>
      <c r="GU38" s="48"/>
      <c r="GV38" s="48"/>
      <c r="GW38" s="48"/>
      <c r="GX38" s="48"/>
      <c r="GY38" s="48"/>
      <c r="GZ38" s="48"/>
      <c r="HA38" s="48"/>
      <c r="HB38" s="48"/>
      <c r="HC38" s="48"/>
      <c r="HD38" s="48"/>
      <c r="HE38" s="48"/>
      <c r="HF38" s="48"/>
      <c r="HG38" s="48"/>
      <c r="HH38" s="48"/>
      <c r="HI38" s="48"/>
      <c r="HJ38" s="48"/>
      <c r="HK38" s="48"/>
      <c r="HL38" s="48"/>
      <c r="HM38" s="48"/>
      <c r="HN38" s="48"/>
      <c r="HO38" s="48"/>
      <c r="HP38" s="48"/>
      <c r="HQ38" s="48"/>
      <c r="HR38" s="48"/>
      <c r="HS38" s="48"/>
      <c r="HT38" s="48"/>
      <c r="HU38" s="48"/>
      <c r="HV38" s="48"/>
      <c r="HW38" s="48"/>
      <c r="HX38" s="48"/>
      <c r="HY38" s="48"/>
      <c r="HZ38" s="48"/>
      <c r="IA38" s="48"/>
      <c r="IB38" s="48"/>
      <c r="IC38" s="48"/>
      <c r="ID38" s="48"/>
      <c r="IE38" s="48"/>
      <c r="IF38" s="48"/>
      <c r="IG38" s="48"/>
      <c r="IH38" s="48"/>
      <c r="II38" s="48"/>
      <c r="IJ38" s="48"/>
      <c r="IK38" s="48"/>
      <c r="IL38" s="48"/>
      <c r="IM38" s="48"/>
      <c r="IN38" s="48"/>
      <c r="IO38" s="48"/>
      <c r="IP38" s="48"/>
      <c r="IQ38" s="48"/>
      <c r="IR38" s="48"/>
      <c r="IS38" s="48"/>
      <c r="IT38" s="48"/>
      <c r="IU38" s="48"/>
      <c r="IV38" s="48"/>
    </row>
    <row r="39" spans="1:256" ht="14.25" x14ac:dyDescent="0.2"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  <c r="BS39" s="48"/>
      <c r="BT39" s="48"/>
      <c r="BU39" s="48"/>
      <c r="BV39" s="48"/>
      <c r="BW39" s="48"/>
      <c r="BX39" s="48"/>
      <c r="BY39" s="48"/>
      <c r="BZ39" s="48"/>
      <c r="CA39" s="48"/>
      <c r="CB39" s="48"/>
      <c r="CC39" s="48"/>
      <c r="CD39" s="48"/>
      <c r="CE39" s="48"/>
      <c r="CF39" s="48"/>
      <c r="CG39" s="48"/>
      <c r="CH39" s="48"/>
      <c r="CI39" s="48"/>
      <c r="CJ39" s="48"/>
      <c r="CK39" s="48"/>
      <c r="CL39" s="48"/>
      <c r="CM39" s="48"/>
      <c r="CN39" s="48"/>
      <c r="CO39" s="48"/>
      <c r="CP39" s="48"/>
      <c r="CQ39" s="48"/>
      <c r="CR39" s="48"/>
      <c r="CS39" s="48"/>
      <c r="CT39" s="48"/>
      <c r="CU39" s="48"/>
      <c r="CV39" s="48"/>
      <c r="CW39" s="48"/>
      <c r="CX39" s="48"/>
      <c r="CY39" s="48"/>
      <c r="CZ39" s="48"/>
      <c r="DA39" s="48"/>
      <c r="DB39" s="48"/>
      <c r="DC39" s="48"/>
      <c r="DD39" s="48"/>
      <c r="DE39" s="48"/>
      <c r="DF39" s="48"/>
      <c r="DG39" s="48"/>
      <c r="DH39" s="48"/>
      <c r="DI39" s="48"/>
      <c r="DJ39" s="48"/>
      <c r="DK39" s="48"/>
      <c r="DL39" s="48"/>
      <c r="DM39" s="48"/>
      <c r="DN39" s="48"/>
      <c r="DO39" s="48"/>
      <c r="DP39" s="48"/>
      <c r="DQ39" s="48"/>
      <c r="DR39" s="48"/>
      <c r="DS39" s="48"/>
      <c r="DT39" s="48"/>
      <c r="DU39" s="48"/>
      <c r="DV39" s="48"/>
      <c r="DW39" s="48"/>
      <c r="DX39" s="48"/>
      <c r="DY39" s="48"/>
      <c r="DZ39" s="48"/>
      <c r="EA39" s="48"/>
      <c r="EB39" s="48"/>
      <c r="EC39" s="48"/>
      <c r="ED39" s="48"/>
      <c r="EE39" s="48"/>
      <c r="EF39" s="48"/>
      <c r="EG39" s="48"/>
      <c r="EH39" s="48"/>
      <c r="EI39" s="48"/>
      <c r="EJ39" s="48"/>
      <c r="EK39" s="48"/>
      <c r="EL39" s="48"/>
      <c r="EM39" s="48"/>
      <c r="EN39" s="48"/>
      <c r="EO39" s="48"/>
      <c r="EP39" s="48"/>
      <c r="EQ39" s="48"/>
      <c r="ER39" s="48"/>
      <c r="ES39" s="48"/>
      <c r="ET39" s="48"/>
      <c r="EU39" s="48"/>
      <c r="EV39" s="48"/>
      <c r="EW39" s="48"/>
      <c r="EX39" s="48"/>
      <c r="EY39" s="48"/>
      <c r="EZ39" s="48"/>
      <c r="FA39" s="48"/>
      <c r="FB39" s="48"/>
      <c r="FC39" s="48"/>
      <c r="FD39" s="48"/>
      <c r="FE39" s="48"/>
      <c r="FF39" s="48"/>
      <c r="FG39" s="48"/>
      <c r="FH39" s="48"/>
      <c r="FI39" s="48"/>
      <c r="FJ39" s="48"/>
      <c r="FK39" s="48"/>
      <c r="FL39" s="48"/>
      <c r="FM39" s="48"/>
      <c r="FN39" s="48"/>
      <c r="FO39" s="48"/>
      <c r="FP39" s="48"/>
      <c r="FQ39" s="48"/>
      <c r="FR39" s="48"/>
      <c r="FS39" s="48"/>
      <c r="FT39" s="48"/>
      <c r="FU39" s="48"/>
      <c r="FV39" s="48"/>
      <c r="FW39" s="48"/>
      <c r="FX39" s="48"/>
      <c r="FY39" s="48"/>
      <c r="FZ39" s="48"/>
      <c r="GA39" s="48"/>
      <c r="GB39" s="48"/>
      <c r="GC39" s="48"/>
      <c r="GD39" s="48"/>
      <c r="GE39" s="48"/>
      <c r="GF39" s="48"/>
      <c r="GG39" s="48"/>
      <c r="GH39" s="48"/>
      <c r="GI39" s="48"/>
      <c r="GJ39" s="48"/>
      <c r="GK39" s="48"/>
      <c r="GL39" s="48"/>
      <c r="GM39" s="48"/>
      <c r="GN39" s="48"/>
      <c r="GO39" s="48"/>
      <c r="GP39" s="48"/>
      <c r="GQ39" s="48"/>
      <c r="GR39" s="48"/>
      <c r="GS39" s="48"/>
      <c r="GT39" s="48"/>
      <c r="GU39" s="48"/>
      <c r="GV39" s="48"/>
      <c r="GW39" s="48"/>
      <c r="GX39" s="48"/>
      <c r="GY39" s="48"/>
      <c r="GZ39" s="48"/>
      <c r="HA39" s="48"/>
      <c r="HB39" s="48"/>
      <c r="HC39" s="48"/>
      <c r="HD39" s="48"/>
      <c r="HE39" s="48"/>
      <c r="HF39" s="48"/>
      <c r="HG39" s="48"/>
      <c r="HH39" s="48"/>
      <c r="HI39" s="48"/>
      <c r="HJ39" s="48"/>
      <c r="HK39" s="48"/>
      <c r="HL39" s="48"/>
      <c r="HM39" s="48"/>
      <c r="HN39" s="48"/>
      <c r="HO39" s="48"/>
      <c r="HP39" s="48"/>
      <c r="HQ39" s="48"/>
      <c r="HR39" s="48"/>
      <c r="HS39" s="48"/>
      <c r="HT39" s="48"/>
      <c r="HU39" s="48"/>
      <c r="HV39" s="48"/>
      <c r="HW39" s="48"/>
      <c r="HX39" s="48"/>
      <c r="HY39" s="48"/>
      <c r="HZ39" s="48"/>
      <c r="IA39" s="48"/>
      <c r="IB39" s="48"/>
      <c r="IC39" s="48"/>
      <c r="ID39" s="48"/>
      <c r="IE39" s="48"/>
      <c r="IF39" s="48"/>
      <c r="IG39" s="48"/>
      <c r="IH39" s="48"/>
      <c r="II39" s="48"/>
      <c r="IJ39" s="48"/>
      <c r="IK39" s="48"/>
      <c r="IL39" s="48"/>
      <c r="IM39" s="48"/>
      <c r="IN39" s="48"/>
      <c r="IO39" s="48"/>
      <c r="IP39" s="48"/>
      <c r="IQ39" s="48"/>
      <c r="IR39" s="48"/>
      <c r="IS39" s="48"/>
      <c r="IT39" s="48"/>
      <c r="IU39" s="48"/>
      <c r="IV39" s="48"/>
    </row>
    <row r="40" spans="1:256" ht="14.25" x14ac:dyDescent="0.2"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48"/>
      <c r="BE40" s="48"/>
      <c r="BF40" s="48"/>
      <c r="BG40" s="48"/>
      <c r="BH40" s="48"/>
      <c r="BI40" s="48"/>
      <c r="BJ40" s="48"/>
      <c r="BK40" s="48"/>
      <c r="BL40" s="48"/>
      <c r="BM40" s="48"/>
      <c r="BN40" s="48"/>
      <c r="BO40" s="48"/>
      <c r="BP40" s="48"/>
      <c r="BQ40" s="48"/>
      <c r="BR40" s="48"/>
      <c r="BS40" s="48"/>
      <c r="BT40" s="48"/>
      <c r="BU40" s="48"/>
      <c r="BV40" s="48"/>
      <c r="BW40" s="48"/>
      <c r="BX40" s="48"/>
      <c r="BY40" s="48"/>
      <c r="BZ40" s="48"/>
      <c r="CA40" s="48"/>
      <c r="CB40" s="48"/>
      <c r="CC40" s="48"/>
      <c r="CD40" s="48"/>
      <c r="CE40" s="48"/>
      <c r="CF40" s="48"/>
      <c r="CG40" s="48"/>
      <c r="CH40" s="48"/>
      <c r="CI40" s="48"/>
      <c r="CJ40" s="48"/>
      <c r="CK40" s="48"/>
      <c r="CL40" s="48"/>
      <c r="CM40" s="48"/>
      <c r="CN40" s="48"/>
      <c r="CO40" s="48"/>
      <c r="CP40" s="48"/>
      <c r="CQ40" s="48"/>
      <c r="CR40" s="48"/>
      <c r="CS40" s="48"/>
      <c r="CT40" s="48"/>
      <c r="CU40" s="48"/>
      <c r="CV40" s="48"/>
      <c r="CW40" s="48"/>
      <c r="CX40" s="48"/>
      <c r="CY40" s="48"/>
      <c r="CZ40" s="48"/>
      <c r="DA40" s="48"/>
      <c r="DB40" s="48"/>
      <c r="DC40" s="48"/>
      <c r="DD40" s="48"/>
      <c r="DE40" s="48"/>
      <c r="DF40" s="48"/>
      <c r="DG40" s="48"/>
      <c r="DH40" s="48"/>
      <c r="DI40" s="48"/>
      <c r="DJ40" s="48"/>
      <c r="DK40" s="48"/>
      <c r="DL40" s="48"/>
      <c r="DM40" s="48"/>
      <c r="DN40" s="48"/>
      <c r="DO40" s="48"/>
      <c r="DP40" s="48"/>
      <c r="DQ40" s="48"/>
      <c r="DR40" s="48"/>
      <c r="DS40" s="48"/>
      <c r="DT40" s="48"/>
      <c r="DU40" s="48"/>
      <c r="DV40" s="48"/>
      <c r="DW40" s="48"/>
      <c r="DX40" s="48"/>
      <c r="DY40" s="48"/>
      <c r="DZ40" s="48"/>
      <c r="EA40" s="48"/>
      <c r="EB40" s="48"/>
      <c r="EC40" s="48"/>
      <c r="ED40" s="48"/>
      <c r="EE40" s="48"/>
      <c r="EF40" s="48"/>
      <c r="EG40" s="48"/>
      <c r="EH40" s="48"/>
      <c r="EI40" s="48"/>
      <c r="EJ40" s="48"/>
      <c r="EK40" s="48"/>
      <c r="EL40" s="48"/>
      <c r="EM40" s="48"/>
      <c r="EN40" s="48"/>
      <c r="EO40" s="48"/>
      <c r="EP40" s="48"/>
      <c r="EQ40" s="48"/>
      <c r="ER40" s="48"/>
      <c r="ES40" s="48"/>
      <c r="ET40" s="48"/>
      <c r="EU40" s="48"/>
      <c r="EV40" s="48"/>
      <c r="EW40" s="48"/>
      <c r="EX40" s="48"/>
      <c r="EY40" s="48"/>
      <c r="EZ40" s="48"/>
      <c r="FA40" s="48"/>
      <c r="FB40" s="48"/>
      <c r="FC40" s="48"/>
      <c r="FD40" s="48"/>
      <c r="FE40" s="48"/>
      <c r="FF40" s="48"/>
      <c r="FG40" s="48"/>
      <c r="FH40" s="48"/>
      <c r="FI40" s="48"/>
      <c r="FJ40" s="48"/>
      <c r="FK40" s="48"/>
      <c r="FL40" s="48"/>
      <c r="FM40" s="48"/>
      <c r="FN40" s="48"/>
      <c r="FO40" s="48"/>
      <c r="FP40" s="48"/>
      <c r="FQ40" s="48"/>
      <c r="FR40" s="48"/>
      <c r="FS40" s="48"/>
      <c r="FT40" s="48"/>
      <c r="FU40" s="48"/>
      <c r="FV40" s="48"/>
      <c r="FW40" s="48"/>
      <c r="FX40" s="48"/>
      <c r="FY40" s="48"/>
      <c r="FZ40" s="48"/>
      <c r="GA40" s="48"/>
      <c r="GB40" s="48"/>
      <c r="GC40" s="48"/>
      <c r="GD40" s="48"/>
      <c r="GE40" s="48"/>
      <c r="GF40" s="48"/>
      <c r="GG40" s="48"/>
      <c r="GH40" s="48"/>
      <c r="GI40" s="48"/>
      <c r="GJ40" s="48"/>
      <c r="GK40" s="48"/>
      <c r="GL40" s="48"/>
      <c r="GM40" s="48"/>
      <c r="GN40" s="48"/>
      <c r="GO40" s="48"/>
      <c r="GP40" s="48"/>
      <c r="GQ40" s="48"/>
      <c r="GR40" s="48"/>
      <c r="GS40" s="48"/>
      <c r="GT40" s="48"/>
      <c r="GU40" s="48"/>
      <c r="GV40" s="48"/>
      <c r="GW40" s="48"/>
      <c r="GX40" s="48"/>
      <c r="GY40" s="48"/>
      <c r="GZ40" s="48"/>
      <c r="HA40" s="48"/>
      <c r="HB40" s="48"/>
      <c r="HC40" s="48"/>
      <c r="HD40" s="48"/>
      <c r="HE40" s="48"/>
      <c r="HF40" s="48"/>
      <c r="HG40" s="48"/>
      <c r="HH40" s="48"/>
      <c r="HI40" s="48"/>
      <c r="HJ40" s="48"/>
      <c r="HK40" s="48"/>
      <c r="HL40" s="48"/>
      <c r="HM40" s="48"/>
      <c r="HN40" s="48"/>
      <c r="HO40" s="48"/>
      <c r="HP40" s="48"/>
      <c r="HQ40" s="48"/>
      <c r="HR40" s="48"/>
      <c r="HS40" s="48"/>
      <c r="HT40" s="48"/>
      <c r="HU40" s="48"/>
      <c r="HV40" s="48"/>
      <c r="HW40" s="48"/>
      <c r="HX40" s="48"/>
      <c r="HY40" s="48"/>
      <c r="HZ40" s="48"/>
      <c r="IA40" s="48"/>
      <c r="IB40" s="48"/>
      <c r="IC40" s="48"/>
      <c r="ID40" s="48"/>
      <c r="IE40" s="48"/>
      <c r="IF40" s="48"/>
      <c r="IG40" s="48"/>
      <c r="IH40" s="48"/>
      <c r="II40" s="48"/>
      <c r="IJ40" s="48"/>
      <c r="IK40" s="48"/>
      <c r="IL40" s="48"/>
      <c r="IM40" s="48"/>
      <c r="IN40" s="48"/>
      <c r="IO40" s="48"/>
      <c r="IP40" s="48"/>
      <c r="IQ40" s="48"/>
      <c r="IR40" s="48"/>
      <c r="IS40" s="48"/>
      <c r="IT40" s="48"/>
      <c r="IU40" s="48"/>
      <c r="IV40" s="48"/>
    </row>
    <row r="41" spans="1:256" ht="14.25" x14ac:dyDescent="0.2"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8"/>
      <c r="BM41" s="48"/>
      <c r="BN41" s="48"/>
      <c r="BO41" s="48"/>
      <c r="BP41" s="48"/>
      <c r="BQ41" s="48"/>
      <c r="BR41" s="48"/>
      <c r="BS41" s="48"/>
      <c r="BT41" s="48"/>
      <c r="BU41" s="48"/>
      <c r="BV41" s="48"/>
      <c r="BW41" s="48"/>
      <c r="BX41" s="48"/>
      <c r="BY41" s="48"/>
      <c r="BZ41" s="48"/>
      <c r="CA41" s="48"/>
      <c r="CB41" s="48"/>
      <c r="CC41" s="48"/>
      <c r="CD41" s="48"/>
      <c r="CE41" s="48"/>
      <c r="CF41" s="48"/>
      <c r="CG41" s="48"/>
      <c r="CH41" s="48"/>
      <c r="CI41" s="48"/>
      <c r="CJ41" s="48"/>
      <c r="CK41" s="48"/>
      <c r="CL41" s="48"/>
      <c r="CM41" s="48"/>
      <c r="CN41" s="48"/>
      <c r="CO41" s="48"/>
      <c r="CP41" s="48"/>
      <c r="CQ41" s="48"/>
      <c r="CR41" s="48"/>
      <c r="CS41" s="48"/>
      <c r="CT41" s="48"/>
      <c r="CU41" s="48"/>
      <c r="CV41" s="48"/>
      <c r="CW41" s="48"/>
      <c r="CX41" s="48"/>
      <c r="CY41" s="48"/>
      <c r="CZ41" s="48"/>
      <c r="DA41" s="48"/>
      <c r="DB41" s="48"/>
      <c r="DC41" s="48"/>
      <c r="DD41" s="48"/>
      <c r="DE41" s="48"/>
      <c r="DF41" s="48"/>
      <c r="DG41" s="48"/>
      <c r="DH41" s="48"/>
      <c r="DI41" s="48"/>
      <c r="DJ41" s="48"/>
      <c r="DK41" s="48"/>
      <c r="DL41" s="48"/>
      <c r="DM41" s="48"/>
      <c r="DN41" s="48"/>
      <c r="DO41" s="48"/>
      <c r="DP41" s="48"/>
      <c r="DQ41" s="48"/>
      <c r="DR41" s="48"/>
      <c r="DS41" s="48"/>
      <c r="DT41" s="48"/>
      <c r="DU41" s="48"/>
      <c r="DV41" s="48"/>
      <c r="DW41" s="48"/>
      <c r="DX41" s="48"/>
      <c r="DY41" s="48"/>
      <c r="DZ41" s="48"/>
      <c r="EA41" s="48"/>
      <c r="EB41" s="48"/>
      <c r="EC41" s="48"/>
      <c r="ED41" s="48"/>
      <c r="EE41" s="48"/>
      <c r="EF41" s="48"/>
      <c r="EG41" s="48"/>
      <c r="EH41" s="48"/>
      <c r="EI41" s="48"/>
      <c r="EJ41" s="48"/>
      <c r="EK41" s="48"/>
      <c r="EL41" s="48"/>
      <c r="EM41" s="48"/>
      <c r="EN41" s="48"/>
      <c r="EO41" s="48"/>
      <c r="EP41" s="48"/>
      <c r="EQ41" s="48"/>
      <c r="ER41" s="48"/>
      <c r="ES41" s="48"/>
      <c r="ET41" s="48"/>
      <c r="EU41" s="48"/>
      <c r="EV41" s="48"/>
      <c r="EW41" s="48"/>
      <c r="EX41" s="48"/>
      <c r="EY41" s="48"/>
      <c r="EZ41" s="48"/>
      <c r="FA41" s="48"/>
      <c r="FB41" s="48"/>
      <c r="FC41" s="48"/>
      <c r="FD41" s="48"/>
      <c r="FE41" s="48"/>
      <c r="FF41" s="48"/>
      <c r="FG41" s="48"/>
      <c r="FH41" s="48"/>
      <c r="FI41" s="48"/>
      <c r="FJ41" s="48"/>
      <c r="FK41" s="48"/>
      <c r="FL41" s="48"/>
      <c r="FM41" s="48"/>
      <c r="FN41" s="48"/>
      <c r="FO41" s="48"/>
      <c r="FP41" s="48"/>
      <c r="FQ41" s="48"/>
      <c r="FR41" s="48"/>
      <c r="FS41" s="48"/>
      <c r="FT41" s="48"/>
      <c r="FU41" s="48"/>
      <c r="FV41" s="48"/>
      <c r="FW41" s="48"/>
      <c r="FX41" s="48"/>
      <c r="FY41" s="48"/>
      <c r="FZ41" s="48"/>
      <c r="GA41" s="48"/>
      <c r="GB41" s="48"/>
      <c r="GC41" s="48"/>
      <c r="GD41" s="48"/>
      <c r="GE41" s="48"/>
      <c r="GF41" s="48"/>
      <c r="GG41" s="48"/>
      <c r="GH41" s="48"/>
      <c r="GI41" s="48"/>
      <c r="GJ41" s="48"/>
      <c r="GK41" s="48"/>
      <c r="GL41" s="48"/>
      <c r="GM41" s="48"/>
      <c r="GN41" s="48"/>
      <c r="GO41" s="48"/>
      <c r="GP41" s="48"/>
      <c r="GQ41" s="48"/>
      <c r="GR41" s="48"/>
      <c r="GS41" s="48"/>
      <c r="GT41" s="48"/>
      <c r="GU41" s="48"/>
      <c r="GV41" s="48"/>
      <c r="GW41" s="48"/>
      <c r="GX41" s="48"/>
      <c r="GY41" s="48"/>
      <c r="GZ41" s="48"/>
      <c r="HA41" s="48"/>
      <c r="HB41" s="48"/>
      <c r="HC41" s="48"/>
      <c r="HD41" s="48"/>
      <c r="HE41" s="48"/>
      <c r="HF41" s="48"/>
      <c r="HG41" s="48"/>
      <c r="HH41" s="48"/>
      <c r="HI41" s="48"/>
      <c r="HJ41" s="48"/>
      <c r="HK41" s="48"/>
      <c r="HL41" s="48"/>
      <c r="HM41" s="48"/>
      <c r="HN41" s="48"/>
      <c r="HO41" s="48"/>
      <c r="HP41" s="48"/>
      <c r="HQ41" s="48"/>
      <c r="HR41" s="48"/>
      <c r="HS41" s="48"/>
      <c r="HT41" s="48"/>
      <c r="HU41" s="48"/>
      <c r="HV41" s="48"/>
      <c r="HW41" s="48"/>
      <c r="HX41" s="48"/>
      <c r="HY41" s="48"/>
      <c r="HZ41" s="48"/>
      <c r="IA41" s="48"/>
      <c r="IB41" s="48"/>
      <c r="IC41" s="48"/>
      <c r="ID41" s="48"/>
      <c r="IE41" s="48"/>
      <c r="IF41" s="48"/>
      <c r="IG41" s="48"/>
      <c r="IH41" s="48"/>
      <c r="II41" s="48"/>
      <c r="IJ41" s="48"/>
      <c r="IK41" s="48"/>
      <c r="IL41" s="48"/>
      <c r="IM41" s="48"/>
      <c r="IN41" s="48"/>
      <c r="IO41" s="48"/>
      <c r="IP41" s="48"/>
      <c r="IQ41" s="48"/>
      <c r="IR41" s="48"/>
      <c r="IS41" s="48"/>
      <c r="IT41" s="48"/>
      <c r="IU41" s="48"/>
      <c r="IV41" s="48"/>
    </row>
  </sheetData>
  <mergeCells count="3">
    <mergeCell ref="B13:H14"/>
    <mergeCell ref="B16:G18"/>
    <mergeCell ref="A34:H34"/>
  </mergeCells>
  <printOptions horizontalCentered="1"/>
  <pageMargins left="0.70866141732283472" right="0.70866141732283472" top="0.94488188976377963" bottom="0.74803149606299213" header="0.31496062992125984" footer="0.31496062992125984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pageSetUpPr fitToPage="1"/>
  </sheetPr>
  <dimension ref="A1:N49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9" max="11" width="11.5" style="1"/>
    <col min="14" max="14" width="18" customWidth="1"/>
  </cols>
  <sheetData>
    <row r="1" spans="1:14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14" ht="20.25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4" spans="1:14" s="16" customFormat="1" ht="21" customHeight="1" x14ac:dyDescent="0.2">
      <c r="A4" s="11" t="s">
        <v>13</v>
      </c>
      <c r="B4" s="12">
        <v>40909</v>
      </c>
      <c r="C4" s="13">
        <v>40940</v>
      </c>
      <c r="D4" s="13">
        <v>40969</v>
      </c>
      <c r="E4" s="13">
        <v>41000</v>
      </c>
      <c r="F4" s="13">
        <v>41030</v>
      </c>
      <c r="G4" s="13">
        <v>41061</v>
      </c>
      <c r="H4" s="13">
        <v>41091</v>
      </c>
      <c r="I4" s="14">
        <v>41122</v>
      </c>
      <c r="J4" s="14">
        <v>41153</v>
      </c>
      <c r="K4" s="14">
        <v>41183</v>
      </c>
      <c r="L4" s="13">
        <v>41214</v>
      </c>
      <c r="M4" s="13">
        <v>41244</v>
      </c>
      <c r="N4" s="15" t="s">
        <v>11</v>
      </c>
    </row>
    <row r="5" spans="1:14" s="21" customFormat="1" ht="21" customHeight="1" x14ac:dyDescent="0.2">
      <c r="A5" s="17" t="s">
        <v>0</v>
      </c>
      <c r="B5" s="18">
        <v>8.2149999999999999</v>
      </c>
      <c r="C5" s="19">
        <v>6.5279999999999996</v>
      </c>
      <c r="D5" s="19">
        <v>7.6749999999999998</v>
      </c>
      <c r="E5" s="19">
        <v>7.2869999999999999</v>
      </c>
      <c r="F5" s="19">
        <v>7.45</v>
      </c>
      <c r="G5" s="19">
        <v>7.1260000000000003</v>
      </c>
      <c r="H5" s="19">
        <v>7.0780000000000003</v>
      </c>
      <c r="I5" s="19">
        <v>7.5490000000000004</v>
      </c>
      <c r="J5" s="19">
        <v>4.4850000000000003</v>
      </c>
      <c r="K5" s="19">
        <v>13.215999999999999</v>
      </c>
      <c r="L5" s="19">
        <v>32.247</v>
      </c>
      <c r="M5" s="19">
        <v>33.909999999999997</v>
      </c>
      <c r="N5" s="20">
        <f t="shared" ref="N5:N11" si="0">SUM(B5:M5)</f>
        <v>142.76599999999999</v>
      </c>
    </row>
    <row r="6" spans="1:14" s="21" customFormat="1" ht="21" customHeight="1" x14ac:dyDescent="0.2">
      <c r="A6" s="22" t="s">
        <v>1</v>
      </c>
      <c r="B6" s="23">
        <v>4620</v>
      </c>
      <c r="C6" s="24">
        <v>5200</v>
      </c>
      <c r="D6" s="24">
        <v>4127</v>
      </c>
      <c r="E6" s="24">
        <v>4521</v>
      </c>
      <c r="F6" s="24">
        <v>4159</v>
      </c>
      <c r="G6" s="24">
        <v>4846</v>
      </c>
      <c r="H6" s="24">
        <v>5286</v>
      </c>
      <c r="I6" s="24">
        <v>5440</v>
      </c>
      <c r="J6" s="24">
        <v>5132</v>
      </c>
      <c r="K6" s="24">
        <v>5279</v>
      </c>
      <c r="L6" s="24">
        <v>5189</v>
      </c>
      <c r="M6" s="24">
        <v>4898</v>
      </c>
      <c r="N6" s="25">
        <f>SUM(B6:M6)</f>
        <v>58697</v>
      </c>
    </row>
    <row r="7" spans="1:14" s="21" customFormat="1" ht="21" customHeight="1" x14ac:dyDescent="0.2">
      <c r="A7" s="26" t="s">
        <v>2</v>
      </c>
      <c r="B7" s="27">
        <v>104</v>
      </c>
      <c r="C7" s="28">
        <v>-45</v>
      </c>
      <c r="D7" s="28">
        <v>29</v>
      </c>
      <c r="E7" s="28">
        <v>120</v>
      </c>
      <c r="F7" s="28">
        <v>199</v>
      </c>
      <c r="G7" s="28">
        <v>9</v>
      </c>
      <c r="H7" s="28">
        <v>185</v>
      </c>
      <c r="I7" s="28">
        <v>467</v>
      </c>
      <c r="J7" s="28">
        <v>-35</v>
      </c>
      <c r="K7" s="28">
        <v>-137</v>
      </c>
      <c r="L7" s="28">
        <v>144</v>
      </c>
      <c r="M7" s="28">
        <v>87</v>
      </c>
      <c r="N7" s="29">
        <f t="shared" si="0"/>
        <v>1127</v>
      </c>
    </row>
    <row r="8" spans="1:14" s="21" customFormat="1" ht="21" customHeight="1" x14ac:dyDescent="0.2">
      <c r="A8" s="26" t="s">
        <v>3</v>
      </c>
      <c r="B8" s="27">
        <v>6</v>
      </c>
      <c r="C8" s="28">
        <v>642</v>
      </c>
      <c r="D8" s="28">
        <v>-469</v>
      </c>
      <c r="E8" s="28">
        <v>221</v>
      </c>
      <c r="F8" s="28">
        <v>-129</v>
      </c>
      <c r="G8" s="28">
        <v>307</v>
      </c>
      <c r="H8" s="28">
        <v>-331</v>
      </c>
      <c r="I8" s="28">
        <v>128</v>
      </c>
      <c r="J8" s="28">
        <v>-18</v>
      </c>
      <c r="K8" s="28">
        <v>-367</v>
      </c>
      <c r="L8" s="28">
        <v>80</v>
      </c>
      <c r="M8" s="28">
        <v>-366</v>
      </c>
      <c r="N8" s="29">
        <f t="shared" si="0"/>
        <v>-296</v>
      </c>
    </row>
    <row r="9" spans="1:14" s="21" customFormat="1" ht="21" customHeight="1" x14ac:dyDescent="0.2">
      <c r="A9" s="26" t="s">
        <v>4</v>
      </c>
      <c r="B9" s="27">
        <v>10</v>
      </c>
      <c r="C9" s="28">
        <v>-90</v>
      </c>
      <c r="D9" s="28">
        <v>64</v>
      </c>
      <c r="E9" s="28">
        <v>-49</v>
      </c>
      <c r="F9" s="28">
        <v>-113</v>
      </c>
      <c r="G9" s="28">
        <v>-86</v>
      </c>
      <c r="H9" s="28">
        <v>158</v>
      </c>
      <c r="I9" s="28">
        <v>166</v>
      </c>
      <c r="J9" s="28">
        <v>-242</v>
      </c>
      <c r="K9" s="28">
        <v>-27</v>
      </c>
      <c r="L9" s="28">
        <v>-76</v>
      </c>
      <c r="M9" s="28">
        <v>-281</v>
      </c>
      <c r="N9" s="29">
        <f t="shared" si="0"/>
        <v>-566</v>
      </c>
    </row>
    <row r="10" spans="1:14" s="21" customFormat="1" ht="21" customHeight="1" x14ac:dyDescent="0.2">
      <c r="A10" s="26" t="s">
        <v>5</v>
      </c>
      <c r="B10" s="27">
        <v>56</v>
      </c>
      <c r="C10" s="28">
        <v>84</v>
      </c>
      <c r="D10" s="28">
        <v>91</v>
      </c>
      <c r="E10" s="28">
        <v>49</v>
      </c>
      <c r="F10" s="28">
        <v>70</v>
      </c>
      <c r="G10" s="28">
        <v>107</v>
      </c>
      <c r="H10" s="28">
        <v>94</v>
      </c>
      <c r="I10" s="28">
        <v>76</v>
      </c>
      <c r="J10" s="28">
        <v>80</v>
      </c>
      <c r="K10" s="28">
        <v>162</v>
      </c>
      <c r="L10" s="28">
        <v>104</v>
      </c>
      <c r="M10" s="28">
        <v>104</v>
      </c>
      <c r="N10" s="29">
        <f t="shared" si="0"/>
        <v>1077</v>
      </c>
    </row>
    <row r="11" spans="1:14" s="21" customFormat="1" ht="21" customHeight="1" x14ac:dyDescent="0.2">
      <c r="A11" s="26" t="s">
        <v>6</v>
      </c>
      <c r="B11" s="27">
        <v>1</v>
      </c>
      <c r="C11" s="28">
        <v>1</v>
      </c>
      <c r="D11" s="28">
        <v>1</v>
      </c>
      <c r="E11" s="28">
        <v>1</v>
      </c>
      <c r="F11" s="28">
        <v>1</v>
      </c>
      <c r="G11" s="28">
        <v>1</v>
      </c>
      <c r="H11" s="28">
        <v>1</v>
      </c>
      <c r="I11" s="28">
        <v>1</v>
      </c>
      <c r="J11" s="28">
        <v>1</v>
      </c>
      <c r="K11" s="28">
        <v>1</v>
      </c>
      <c r="L11" s="28">
        <v>1</v>
      </c>
      <c r="M11" s="28">
        <v>1</v>
      </c>
      <c r="N11" s="29">
        <f t="shared" si="0"/>
        <v>12</v>
      </c>
    </row>
    <row r="12" spans="1:14" s="21" customFormat="1" ht="21" customHeight="1" x14ac:dyDescent="0.2">
      <c r="A12" s="22" t="s">
        <v>7</v>
      </c>
      <c r="B12" s="23">
        <v>4771.2150000000001</v>
      </c>
      <c r="C12" s="24">
        <v>4692.5280000000002</v>
      </c>
      <c r="D12" s="24">
        <v>4658.6750000000002</v>
      </c>
      <c r="E12" s="24">
        <v>4524.2870000000003</v>
      </c>
      <c r="F12" s="24">
        <v>4676.45</v>
      </c>
      <c r="G12" s="24">
        <v>4747.1260000000002</v>
      </c>
      <c r="H12" s="24">
        <v>5744.0780000000004</v>
      </c>
      <c r="I12" s="24">
        <v>5695.549</v>
      </c>
      <c r="J12" s="24">
        <v>5440.4849999999997</v>
      </c>
      <c r="K12" s="24">
        <v>5710.2160000000003</v>
      </c>
      <c r="L12" s="24">
        <v>5464.2470000000003</v>
      </c>
      <c r="M12" s="24">
        <v>5768.91</v>
      </c>
      <c r="N12" s="25">
        <f>N5+N6+N7+-N8-N9+N10-N11</f>
        <v>61893.766000000003</v>
      </c>
    </row>
    <row r="13" spans="1:14" s="21" customFormat="1" ht="21" customHeight="1" x14ac:dyDescent="0.2">
      <c r="A13" s="26" t="s">
        <v>12</v>
      </c>
      <c r="B13" s="27">
        <v>4621</v>
      </c>
      <c r="C13" s="28">
        <v>4564</v>
      </c>
      <c r="D13" s="28">
        <v>4603</v>
      </c>
      <c r="E13" s="28">
        <v>4306</v>
      </c>
      <c r="F13" s="28">
        <v>4294</v>
      </c>
      <c r="G13" s="28">
        <v>4545</v>
      </c>
      <c r="H13" s="28">
        <v>5623</v>
      </c>
      <c r="I13" s="28">
        <v>5319</v>
      </c>
      <c r="J13" s="28">
        <v>5153</v>
      </c>
      <c r="K13" s="28">
        <v>5658</v>
      </c>
      <c r="L13" s="28">
        <v>5140</v>
      </c>
      <c r="M13" s="28">
        <v>5297</v>
      </c>
      <c r="N13" s="29">
        <f>SUM(B13:M13)</f>
        <v>59123</v>
      </c>
    </row>
    <row r="14" spans="1:14" s="21" customFormat="1" ht="21" customHeight="1" x14ac:dyDescent="0.2">
      <c r="A14" s="26" t="s">
        <v>8</v>
      </c>
      <c r="B14" s="27">
        <v>42.639000000001033</v>
      </c>
      <c r="C14" s="28">
        <v>40.124000000000706</v>
      </c>
      <c r="D14" s="28">
        <v>41.675000000000182</v>
      </c>
      <c r="E14" s="28">
        <v>40.287000000000262</v>
      </c>
      <c r="F14" s="28">
        <v>42.471000000000458</v>
      </c>
      <c r="G14" s="28">
        <v>43.433000000000902</v>
      </c>
      <c r="H14" s="28">
        <v>51.078000000000429</v>
      </c>
      <c r="I14" s="28">
        <v>48.548999999999978</v>
      </c>
      <c r="J14" s="28">
        <v>48.484999999999673</v>
      </c>
      <c r="K14" s="28">
        <v>50.216000000000349</v>
      </c>
      <c r="L14" s="28">
        <v>48.247000000000298</v>
      </c>
      <c r="M14" s="28">
        <v>50.909999999999854</v>
      </c>
      <c r="N14" s="29">
        <f>SUM(B14:M14)</f>
        <v>548.11400000000413</v>
      </c>
    </row>
    <row r="15" spans="1:14" s="21" customFormat="1" ht="21" customHeight="1" x14ac:dyDescent="0.2">
      <c r="A15" s="22" t="s">
        <v>9</v>
      </c>
      <c r="B15" s="23">
        <v>4728.5759999999991</v>
      </c>
      <c r="C15" s="24">
        <v>4652.4039999999995</v>
      </c>
      <c r="D15" s="24">
        <v>4617</v>
      </c>
      <c r="E15" s="24">
        <v>4484</v>
      </c>
      <c r="F15" s="24">
        <v>4633.9789999999994</v>
      </c>
      <c r="G15" s="24">
        <v>4703.6929999999993</v>
      </c>
      <c r="H15" s="24">
        <v>5693</v>
      </c>
      <c r="I15" s="24">
        <v>5647</v>
      </c>
      <c r="J15" s="24">
        <v>5392</v>
      </c>
      <c r="K15" s="24">
        <v>5660</v>
      </c>
      <c r="L15" s="24">
        <v>5416</v>
      </c>
      <c r="M15" s="24">
        <v>5718</v>
      </c>
      <c r="N15" s="25">
        <f>SUM(B15:M15)</f>
        <v>61345.652000000002</v>
      </c>
    </row>
    <row r="16" spans="1:14" ht="15" x14ac:dyDescent="0.2">
      <c r="A16" s="9" t="s">
        <v>14</v>
      </c>
      <c r="B16" s="3">
        <v>160.148</v>
      </c>
      <c r="C16" s="2">
        <v>162.09100000000001</v>
      </c>
      <c r="D16" s="2">
        <v>159.714</v>
      </c>
      <c r="E16" s="2">
        <v>155.83699999999999</v>
      </c>
      <c r="F16" s="2">
        <v>149.9</v>
      </c>
      <c r="G16" s="2">
        <v>162.203</v>
      </c>
      <c r="H16" s="2">
        <v>182.48400000000001</v>
      </c>
      <c r="I16" s="2">
        <v>197.381</v>
      </c>
      <c r="J16" s="2">
        <v>183.72399999999999</v>
      </c>
      <c r="K16" s="2">
        <v>186.542</v>
      </c>
      <c r="L16" s="2">
        <v>180.28800000000001</v>
      </c>
      <c r="M16" s="2">
        <v>179.03100000000001</v>
      </c>
      <c r="N16" s="4">
        <f>SUM(B16:M16)</f>
        <v>2059.3429999999998</v>
      </c>
    </row>
    <row r="17" spans="1:14" ht="15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ref="N17:N49" si="1">SUM(B17:M17)</f>
        <v>0</v>
      </c>
    </row>
    <row r="18" spans="1:14" ht="15" x14ac:dyDescent="0.2">
      <c r="A18" s="9" t="s">
        <v>16</v>
      </c>
      <c r="B18" s="3">
        <v>105.568</v>
      </c>
      <c r="C18" s="2">
        <v>96.591999999999999</v>
      </c>
      <c r="D18" s="2">
        <v>93.430999999999997</v>
      </c>
      <c r="E18" s="2">
        <v>84.977000000000004</v>
      </c>
      <c r="F18" s="2">
        <v>77.373000000000005</v>
      </c>
      <c r="G18" s="2">
        <v>83.869</v>
      </c>
      <c r="H18" s="2">
        <v>99.147000000000006</v>
      </c>
      <c r="I18" s="2">
        <v>100.072</v>
      </c>
      <c r="J18" s="2">
        <v>91.195999999999998</v>
      </c>
      <c r="K18" s="2">
        <v>92.162000000000006</v>
      </c>
      <c r="L18" s="2">
        <v>85.650999999999996</v>
      </c>
      <c r="M18" s="2">
        <v>106.20099999999999</v>
      </c>
      <c r="N18" s="4">
        <f t="shared" si="1"/>
        <v>1116.239</v>
      </c>
    </row>
    <row r="19" spans="1:14" ht="15" x14ac:dyDescent="0.2">
      <c r="A19" s="9" t="s">
        <v>17</v>
      </c>
      <c r="B19" s="3">
        <v>41.933999999999997</v>
      </c>
      <c r="C19" s="2">
        <v>40.610999999999997</v>
      </c>
      <c r="D19" s="2">
        <v>43.326999999999998</v>
      </c>
      <c r="E19" s="2">
        <v>48.831000000000003</v>
      </c>
      <c r="F19" s="2">
        <v>44.626999999999995</v>
      </c>
      <c r="G19" s="2">
        <v>40.671999999999997</v>
      </c>
      <c r="H19" s="2">
        <v>49.02</v>
      </c>
      <c r="I19" s="2">
        <v>53.311999999999998</v>
      </c>
      <c r="J19" s="2">
        <v>51.554000000000002</v>
      </c>
      <c r="K19" s="2">
        <v>55.811999999999998</v>
      </c>
      <c r="L19" s="2">
        <v>56.140999999999998</v>
      </c>
      <c r="M19" s="2">
        <v>59.024999999999999</v>
      </c>
      <c r="N19" s="4">
        <f t="shared" si="1"/>
        <v>584.86599999999987</v>
      </c>
    </row>
    <row r="20" spans="1:14" ht="15" x14ac:dyDescent="0.2">
      <c r="A20" s="9" t="s">
        <v>18</v>
      </c>
      <c r="B20" s="3">
        <v>35.939</v>
      </c>
      <c r="C20" s="2">
        <v>24.138999999999999</v>
      </c>
      <c r="D20" s="2">
        <v>36.021000000000001</v>
      </c>
      <c r="E20" s="2">
        <v>27.779</v>
      </c>
      <c r="F20" s="2">
        <v>30.559000000000001</v>
      </c>
      <c r="G20" s="2">
        <v>22.016999999999999</v>
      </c>
      <c r="H20" s="2">
        <v>24.574000000000002</v>
      </c>
      <c r="I20" s="2">
        <v>24.318000000000001</v>
      </c>
      <c r="J20" s="2">
        <v>27.331</v>
      </c>
      <c r="K20" s="2">
        <v>17.428000000000001</v>
      </c>
      <c r="L20" s="2">
        <v>25.881</v>
      </c>
      <c r="M20" s="2">
        <v>21.809000000000001</v>
      </c>
      <c r="N20" s="4">
        <f t="shared" si="1"/>
        <v>317.79500000000002</v>
      </c>
    </row>
    <row r="21" spans="1:14" ht="15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1"/>
        <v>0</v>
      </c>
    </row>
    <row r="22" spans="1:14" ht="15" x14ac:dyDescent="0.2">
      <c r="A22" s="9" t="s">
        <v>20</v>
      </c>
      <c r="B22" s="3">
        <v>106.87</v>
      </c>
      <c r="C22" s="2">
        <v>90.156000000000006</v>
      </c>
      <c r="D22" s="2">
        <v>103.593</v>
      </c>
      <c r="E22" s="2">
        <v>96.129000000000005</v>
      </c>
      <c r="F22" s="2">
        <v>40.021999999999998</v>
      </c>
      <c r="G22" s="2">
        <v>15.922000000000001</v>
      </c>
      <c r="H22" s="2">
        <v>82.677000000000007</v>
      </c>
      <c r="I22" s="2">
        <v>122.33799999999999</v>
      </c>
      <c r="J22" s="2">
        <v>112.048</v>
      </c>
      <c r="K22" s="2">
        <v>128.46199999999999</v>
      </c>
      <c r="L22" s="2">
        <v>113.804</v>
      </c>
      <c r="M22" s="2">
        <v>99.137</v>
      </c>
      <c r="N22" s="4">
        <f t="shared" si="1"/>
        <v>1111.1579999999999</v>
      </c>
    </row>
    <row r="23" spans="1:14" ht="15" x14ac:dyDescent="0.2">
      <c r="A23" s="9" t="s">
        <v>21</v>
      </c>
      <c r="B23" s="3">
        <v>5.7880000000000003</v>
      </c>
      <c r="C23" s="2">
        <v>3.633</v>
      </c>
      <c r="D23" s="2">
        <v>3.2170000000000001</v>
      </c>
      <c r="E23" s="2">
        <v>10.253</v>
      </c>
      <c r="F23" s="2">
        <v>9.2650000000000006</v>
      </c>
      <c r="G23" s="2">
        <v>2.19</v>
      </c>
      <c r="H23" s="2">
        <v>7.0149999999999997</v>
      </c>
      <c r="I23" s="2">
        <v>8.0890000000000004</v>
      </c>
      <c r="J23" s="2">
        <v>6.3739999999999997</v>
      </c>
      <c r="K23" s="2">
        <v>2.5579999999999998</v>
      </c>
      <c r="L23" s="2">
        <v>4.9279999999999999</v>
      </c>
      <c r="M23" s="2">
        <v>5.9870000000000001</v>
      </c>
      <c r="N23" s="4">
        <f t="shared" si="1"/>
        <v>69.296999999999997</v>
      </c>
    </row>
    <row r="24" spans="1:14" ht="15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1"/>
        <v>0</v>
      </c>
    </row>
    <row r="25" spans="1:14" ht="15" x14ac:dyDescent="0.2">
      <c r="A25" s="9" t="s">
        <v>23</v>
      </c>
      <c r="B25" s="3">
        <v>411.52799999999991</v>
      </c>
      <c r="C25" s="2">
        <v>387.59</v>
      </c>
      <c r="D25" s="2">
        <v>365.02199999999999</v>
      </c>
      <c r="E25" s="2">
        <v>418.30400000000003</v>
      </c>
      <c r="F25" s="2">
        <v>456.47500000000002</v>
      </c>
      <c r="G25" s="2">
        <v>498.51900000000006</v>
      </c>
      <c r="H25" s="2">
        <v>556.61199999999997</v>
      </c>
      <c r="I25" s="2">
        <v>604.94100000000003</v>
      </c>
      <c r="J25" s="2">
        <v>582.5150000000001</v>
      </c>
      <c r="K25" s="2">
        <v>535.81100000000004</v>
      </c>
      <c r="L25" s="2">
        <v>581.36299999999994</v>
      </c>
      <c r="M25" s="2">
        <v>639.55500000000006</v>
      </c>
      <c r="N25" s="4">
        <f t="shared" si="1"/>
        <v>6038.2350000000006</v>
      </c>
    </row>
    <row r="26" spans="1:14" ht="15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11.865</v>
      </c>
      <c r="L26" s="2">
        <v>0</v>
      </c>
      <c r="M26" s="2">
        <v>0</v>
      </c>
      <c r="N26" s="4">
        <f t="shared" si="1"/>
        <v>11.865</v>
      </c>
    </row>
    <row r="27" spans="1:14" ht="15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1"/>
        <v>0</v>
      </c>
    </row>
    <row r="28" spans="1:14" ht="15" x14ac:dyDescent="0.2">
      <c r="A28" s="9" t="s">
        <v>26</v>
      </c>
      <c r="B28" s="3">
        <v>16.535</v>
      </c>
      <c r="C28" s="2">
        <v>12.808999999999999</v>
      </c>
      <c r="D28" s="2">
        <v>7.601</v>
      </c>
      <c r="E28" s="2">
        <v>13.676</v>
      </c>
      <c r="F28" s="2">
        <v>4.3079999999999998</v>
      </c>
      <c r="G28" s="2">
        <v>1.0880000000000001</v>
      </c>
      <c r="H28" s="2">
        <v>14.771000000000001</v>
      </c>
      <c r="I28" s="2">
        <v>15.95</v>
      </c>
      <c r="J28" s="2">
        <v>27.129000000000001</v>
      </c>
      <c r="K28" s="2">
        <v>19.856999999999999</v>
      </c>
      <c r="L28" s="2">
        <v>15.196000000000002</v>
      </c>
      <c r="M28" s="2">
        <v>12.603999999999999</v>
      </c>
      <c r="N28" s="4">
        <f t="shared" si="1"/>
        <v>161.524</v>
      </c>
    </row>
    <row r="29" spans="1:14" ht="15" x14ac:dyDescent="0.2">
      <c r="A29" s="9" t="s">
        <v>27</v>
      </c>
      <c r="B29" s="3">
        <v>0</v>
      </c>
      <c r="C29" s="2">
        <v>0</v>
      </c>
      <c r="D29" s="2">
        <v>0</v>
      </c>
      <c r="E29" s="2">
        <v>4.8000000000000001E-2</v>
      </c>
      <c r="F29" s="2">
        <v>6.0000000000000001E-3</v>
      </c>
      <c r="G29" s="2">
        <v>0</v>
      </c>
      <c r="H29" s="2">
        <v>0</v>
      </c>
      <c r="I29" s="2">
        <v>2E-3</v>
      </c>
      <c r="J29" s="2">
        <v>4.0000000000000001E-3</v>
      </c>
      <c r="K29" s="2">
        <v>5.0000000000000001E-3</v>
      </c>
      <c r="L29" s="2">
        <v>0</v>
      </c>
      <c r="M29" s="2">
        <v>0</v>
      </c>
      <c r="N29" s="4">
        <f t="shared" si="1"/>
        <v>6.5000000000000002E-2</v>
      </c>
    </row>
    <row r="30" spans="1:14" ht="15" x14ac:dyDescent="0.2">
      <c r="A30" s="9" t="s">
        <v>28</v>
      </c>
      <c r="B30" s="3">
        <v>665.44500000000005</v>
      </c>
      <c r="C30" s="2">
        <v>643.71699999999998</v>
      </c>
      <c r="D30" s="2">
        <v>615.80100000000004</v>
      </c>
      <c r="E30" s="2">
        <v>597.41999999999996</v>
      </c>
      <c r="F30" s="2">
        <v>688.17499999999995</v>
      </c>
      <c r="G30" s="2">
        <v>665.26900000000001</v>
      </c>
      <c r="H30" s="2">
        <v>813.66899999999998</v>
      </c>
      <c r="I30" s="2">
        <v>755.76599999999996</v>
      </c>
      <c r="J30" s="2">
        <v>713.47500000000002</v>
      </c>
      <c r="K30" s="2">
        <v>753.74699999999996</v>
      </c>
      <c r="L30" s="2">
        <v>719.46799999999996</v>
      </c>
      <c r="M30" s="2">
        <v>739.61699999999996</v>
      </c>
      <c r="N30" s="4">
        <f t="shared" si="1"/>
        <v>8371.5689999999995</v>
      </c>
    </row>
    <row r="31" spans="1:14" ht="15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1"/>
        <v>0</v>
      </c>
    </row>
    <row r="32" spans="1:14" ht="15" x14ac:dyDescent="0.2">
      <c r="A32" s="9" t="s">
        <v>30</v>
      </c>
      <c r="B32" s="3">
        <v>225.71100000000001</v>
      </c>
      <c r="C32" s="2">
        <v>156.19200000000001</v>
      </c>
      <c r="D32" s="2">
        <v>233.01599999999999</v>
      </c>
      <c r="E32" s="2">
        <v>245.76</v>
      </c>
      <c r="F32" s="2">
        <v>121.27500000000001</v>
      </c>
      <c r="G32" s="2">
        <v>34.01</v>
      </c>
      <c r="H32" s="2">
        <v>222.595</v>
      </c>
      <c r="I32" s="2">
        <v>265.18599999999998</v>
      </c>
      <c r="J32" s="2">
        <v>247.154</v>
      </c>
      <c r="K32" s="2">
        <v>285.79599999999999</v>
      </c>
      <c r="L32" s="2">
        <v>207.60499999999999</v>
      </c>
      <c r="M32" s="2">
        <v>218.46100000000001</v>
      </c>
      <c r="N32" s="4">
        <f t="shared" si="1"/>
        <v>2462.7609999999995</v>
      </c>
    </row>
    <row r="33" spans="1:14" ht="15" x14ac:dyDescent="0.2">
      <c r="A33" s="9" t="s">
        <v>31</v>
      </c>
      <c r="B33" s="3">
        <v>8.1539999999999999</v>
      </c>
      <c r="C33" s="2">
        <v>40.112000000000002</v>
      </c>
      <c r="D33" s="2">
        <v>18.841999999999999</v>
      </c>
      <c r="E33" s="2">
        <v>2.4889999999999999</v>
      </c>
      <c r="F33" s="2">
        <v>16.975000000000001</v>
      </c>
      <c r="G33" s="2">
        <v>23.667000000000002</v>
      </c>
      <c r="H33" s="2">
        <v>27.507000000000001</v>
      </c>
      <c r="I33" s="2">
        <v>24.451000000000001</v>
      </c>
      <c r="J33" s="2">
        <v>30.071999999999999</v>
      </c>
      <c r="K33" s="2">
        <v>42.231000000000002</v>
      </c>
      <c r="L33" s="2">
        <v>32.795999999999999</v>
      </c>
      <c r="M33" s="2">
        <v>42.018999999999998</v>
      </c>
      <c r="N33" s="4">
        <f t="shared" si="1"/>
        <v>309.315</v>
      </c>
    </row>
    <row r="34" spans="1:14" ht="15" x14ac:dyDescent="0.2">
      <c r="A34" s="9" t="s">
        <v>32</v>
      </c>
      <c r="B34" s="3">
        <v>0.45600000000000002</v>
      </c>
      <c r="C34" s="2">
        <v>20.568999999999999</v>
      </c>
      <c r="D34" s="2">
        <v>3.4649999999999999</v>
      </c>
      <c r="E34" s="2">
        <v>9.8819999999999997</v>
      </c>
      <c r="F34" s="2">
        <v>0.26100000000000001</v>
      </c>
      <c r="G34" s="2">
        <v>0</v>
      </c>
      <c r="H34" s="2">
        <v>0.372</v>
      </c>
      <c r="I34" s="2">
        <v>0.40699999999999997</v>
      </c>
      <c r="J34" s="2">
        <v>0</v>
      </c>
      <c r="K34" s="2">
        <v>0.59099999999999997</v>
      </c>
      <c r="L34" s="2">
        <v>7.9790000000000001</v>
      </c>
      <c r="M34" s="2">
        <v>2.3849999999999998</v>
      </c>
      <c r="N34" s="4">
        <f t="shared" si="1"/>
        <v>46.366999999999997</v>
      </c>
    </row>
    <row r="35" spans="1:14" ht="15" x14ac:dyDescent="0.2">
      <c r="A35" s="9" t="s">
        <v>33</v>
      </c>
      <c r="B35" s="3">
        <v>1E-3</v>
      </c>
      <c r="C35" s="2">
        <v>3.0000000000000001E-3</v>
      </c>
      <c r="D35" s="2">
        <v>2E-3</v>
      </c>
      <c r="E35" s="2">
        <v>5.7000000000000002E-2</v>
      </c>
      <c r="F35" s="2">
        <v>0.02</v>
      </c>
      <c r="G35" s="2">
        <v>0</v>
      </c>
      <c r="H35" s="2">
        <v>8.9999999999999993E-3</v>
      </c>
      <c r="I35" s="2">
        <v>0.25900000000000001</v>
      </c>
      <c r="J35" s="2">
        <v>0.14899999999999999</v>
      </c>
      <c r="K35" s="2">
        <v>1E-3</v>
      </c>
      <c r="L35" s="2">
        <v>4.0000000000000001E-3</v>
      </c>
      <c r="M35" s="2">
        <v>0.255</v>
      </c>
      <c r="N35" s="4">
        <f t="shared" si="1"/>
        <v>0.76</v>
      </c>
    </row>
    <row r="36" spans="1:14" ht="15" x14ac:dyDescent="0.2">
      <c r="A36" s="9" t="s">
        <v>34</v>
      </c>
      <c r="B36" s="3">
        <v>0</v>
      </c>
      <c r="C36" s="2">
        <v>0</v>
      </c>
      <c r="D36" s="2">
        <v>0</v>
      </c>
      <c r="E36" s="2">
        <v>1E-3</v>
      </c>
      <c r="F36" s="2">
        <v>0</v>
      </c>
      <c r="G36" s="2">
        <v>0</v>
      </c>
      <c r="H36" s="2">
        <v>0</v>
      </c>
      <c r="I36" s="2">
        <v>1.7999999999999999E-2</v>
      </c>
      <c r="J36" s="2">
        <v>2E-3</v>
      </c>
      <c r="K36" s="2">
        <v>0</v>
      </c>
      <c r="L36" s="2">
        <v>1E-3</v>
      </c>
      <c r="M36" s="2">
        <v>1.4999999999999999E-2</v>
      </c>
      <c r="N36" s="4">
        <f t="shared" si="1"/>
        <v>3.6999999999999998E-2</v>
      </c>
    </row>
    <row r="37" spans="1:14" ht="15" x14ac:dyDescent="0.2">
      <c r="A37" s="9" t="s">
        <v>35</v>
      </c>
      <c r="B37" s="3">
        <v>1903.711</v>
      </c>
      <c r="C37" s="2">
        <v>1870.558</v>
      </c>
      <c r="D37" s="2">
        <v>1742.79</v>
      </c>
      <c r="E37" s="2">
        <v>1703.9269999999999</v>
      </c>
      <c r="F37" s="2">
        <v>1913.6590000000001</v>
      </c>
      <c r="G37" s="2">
        <v>1964.193</v>
      </c>
      <c r="H37" s="2">
        <v>2169.1120000000001</v>
      </c>
      <c r="I37" s="2">
        <v>2222.154</v>
      </c>
      <c r="J37" s="2">
        <v>2021.0920000000001</v>
      </c>
      <c r="K37" s="2">
        <v>2049.723</v>
      </c>
      <c r="L37" s="2">
        <v>1985.87</v>
      </c>
      <c r="M37" s="2">
        <v>2108.3090000000002</v>
      </c>
      <c r="N37" s="4">
        <f t="shared" si="1"/>
        <v>23655.098000000002</v>
      </c>
    </row>
    <row r="38" spans="1:14" ht="15" x14ac:dyDescent="0.2">
      <c r="A38" s="9" t="s">
        <v>36</v>
      </c>
      <c r="B38" s="3">
        <v>0</v>
      </c>
      <c r="C38" s="2">
        <v>0.20499999999999999</v>
      </c>
      <c r="D38" s="2">
        <v>0.19900000000000001</v>
      </c>
      <c r="E38" s="2">
        <v>1E-3</v>
      </c>
      <c r="F38" s="2">
        <v>0</v>
      </c>
      <c r="G38" s="2">
        <v>0</v>
      </c>
      <c r="H38" s="2">
        <v>4.7E-2</v>
      </c>
      <c r="I38" s="2">
        <v>2.7949999999999999</v>
      </c>
      <c r="J38" s="2">
        <v>1.7689999999999999</v>
      </c>
      <c r="K38" s="2">
        <v>2.5449999999999999</v>
      </c>
      <c r="L38" s="2">
        <v>2.1709999999999998</v>
      </c>
      <c r="M38" s="2">
        <v>0.498</v>
      </c>
      <c r="N38" s="4">
        <f t="shared" si="1"/>
        <v>10.229999999999999</v>
      </c>
    </row>
    <row r="39" spans="1:14" ht="15" x14ac:dyDescent="0.2">
      <c r="A39" s="9" t="s">
        <v>37</v>
      </c>
      <c r="B39" s="3">
        <v>0</v>
      </c>
      <c r="C39" s="2">
        <v>0</v>
      </c>
      <c r="D39" s="2">
        <v>0</v>
      </c>
      <c r="E39" s="2">
        <v>5.9930000000000003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1"/>
        <v>5.9930000000000003</v>
      </c>
    </row>
    <row r="40" spans="1:14" ht="15" x14ac:dyDescent="0.2">
      <c r="A40" s="9" t="s">
        <v>38</v>
      </c>
      <c r="B40" s="3">
        <v>5.7389999999999999</v>
      </c>
      <c r="C40" s="2">
        <v>29.728999999999999</v>
      </c>
      <c r="D40" s="2">
        <v>7.0430000000000001</v>
      </c>
      <c r="E40" s="2">
        <v>11.016999999999999</v>
      </c>
      <c r="F40" s="2">
        <v>65.792000000000002</v>
      </c>
      <c r="G40" s="2">
        <v>8</v>
      </c>
      <c r="H40" s="2">
        <v>46.676000000000002</v>
      </c>
      <c r="I40" s="2">
        <v>23.303999999999998</v>
      </c>
      <c r="J40" s="2">
        <v>14.904</v>
      </c>
      <c r="K40" s="2">
        <v>25.838000000000001</v>
      </c>
      <c r="L40" s="2">
        <v>0</v>
      </c>
      <c r="M40" s="2">
        <v>4.6369999999999996</v>
      </c>
      <c r="N40" s="4">
        <f t="shared" si="1"/>
        <v>242.67899999999997</v>
      </c>
    </row>
    <row r="41" spans="1:14" ht="15" x14ac:dyDescent="0.2">
      <c r="A41" s="9" t="s">
        <v>39</v>
      </c>
      <c r="B41" s="3">
        <v>1.554</v>
      </c>
      <c r="C41" s="2">
        <v>0.77300000000000002</v>
      </c>
      <c r="D41" s="2">
        <v>0.73099999999999998</v>
      </c>
      <c r="E41" s="2">
        <v>0.76100000000000001</v>
      </c>
      <c r="F41" s="2">
        <v>0.32800000000000001</v>
      </c>
      <c r="G41" s="2">
        <v>2.7610000000000001</v>
      </c>
      <c r="H41" s="2">
        <v>9.9849999999999994</v>
      </c>
      <c r="I41" s="2">
        <v>1.1319999999999999</v>
      </c>
      <c r="J41" s="2">
        <v>2.4289999999999998</v>
      </c>
      <c r="K41" s="2">
        <v>0.59</v>
      </c>
      <c r="L41" s="2">
        <v>1.522</v>
      </c>
      <c r="M41" s="2">
        <v>0.85699999999999998</v>
      </c>
      <c r="N41" s="4">
        <f t="shared" si="1"/>
        <v>23.422999999999998</v>
      </c>
    </row>
    <row r="42" spans="1:14" ht="15" x14ac:dyDescent="0.2">
      <c r="A42" s="9" t="s">
        <v>57</v>
      </c>
      <c r="B42" s="3">
        <v>26.96</v>
      </c>
      <c r="C42" s="2">
        <v>20.303000000000001</v>
      </c>
      <c r="D42" s="2">
        <v>18.373000000000001</v>
      </c>
      <c r="E42" s="2">
        <v>18.099</v>
      </c>
      <c r="F42" s="2">
        <v>32.548000000000002</v>
      </c>
      <c r="G42" s="2">
        <v>49.22</v>
      </c>
      <c r="H42" s="2">
        <v>55.619</v>
      </c>
      <c r="I42" s="2">
        <v>68.870999999999995</v>
      </c>
      <c r="J42" s="2">
        <v>14.746</v>
      </c>
      <c r="K42" s="2">
        <v>74.908000000000001</v>
      </c>
      <c r="L42" s="2">
        <v>72.254999999999995</v>
      </c>
      <c r="M42" s="2">
        <v>33.061999999999998</v>
      </c>
      <c r="N42" s="4">
        <f t="shared" si="1"/>
        <v>484.964</v>
      </c>
    </row>
    <row r="43" spans="1:14" ht="15" x14ac:dyDescent="0.2">
      <c r="A43" s="9" t="s">
        <v>40</v>
      </c>
      <c r="B43" s="3">
        <v>389.30200000000002</v>
      </c>
      <c r="C43" s="2">
        <v>394.04700000000003</v>
      </c>
      <c r="D43" s="2">
        <v>453.08300000000003</v>
      </c>
      <c r="E43" s="2">
        <v>421.92700000000002</v>
      </c>
      <c r="F43" s="2">
        <v>396.33199999999999</v>
      </c>
      <c r="G43" s="2">
        <v>402.01900000000001</v>
      </c>
      <c r="H43" s="2">
        <v>467.43100000000004</v>
      </c>
      <c r="I43" s="2">
        <v>559.69299999999998</v>
      </c>
      <c r="J43" s="2">
        <v>575.02599999999995</v>
      </c>
      <c r="K43" s="2">
        <v>674.92499999999995</v>
      </c>
      <c r="L43" s="2">
        <v>546.95199999999988</v>
      </c>
      <c r="M43" s="2">
        <v>503.14100000000002</v>
      </c>
      <c r="N43" s="4">
        <f t="shared" si="1"/>
        <v>5783.8779999999997</v>
      </c>
    </row>
    <row r="44" spans="1:14" ht="15" x14ac:dyDescent="0.2">
      <c r="A44" s="9" t="s">
        <v>41</v>
      </c>
      <c r="B44" s="3">
        <v>11.904999999999999</v>
      </c>
      <c r="C44" s="2">
        <v>14.657999999999999</v>
      </c>
      <c r="D44" s="2">
        <v>15.647</v>
      </c>
      <c r="E44" s="2">
        <v>17.722000000000001</v>
      </c>
      <c r="F44" s="2">
        <v>20.858000000000001</v>
      </c>
      <c r="G44" s="2">
        <v>17.385999999999999</v>
      </c>
      <c r="H44" s="2">
        <v>13.073</v>
      </c>
      <c r="I44" s="2">
        <v>10.64</v>
      </c>
      <c r="J44" s="2">
        <v>13.303000000000001</v>
      </c>
      <c r="K44" s="2">
        <v>12.164999999999999</v>
      </c>
      <c r="L44" s="2">
        <v>8.8330000000000002</v>
      </c>
      <c r="M44" s="2">
        <v>8.9890000000000008</v>
      </c>
      <c r="N44" s="4">
        <f t="shared" si="1"/>
        <v>165.179</v>
      </c>
    </row>
    <row r="45" spans="1:14" ht="15" x14ac:dyDescent="0.2">
      <c r="A45" s="9" t="s">
        <v>42</v>
      </c>
      <c r="B45" s="3">
        <v>132.74100000000001</v>
      </c>
      <c r="C45" s="2">
        <v>88.405000000000001</v>
      </c>
      <c r="D45" s="2">
        <v>187.60599999999999</v>
      </c>
      <c r="E45" s="2">
        <v>100.217</v>
      </c>
      <c r="F45" s="2">
        <v>155.14500000000001</v>
      </c>
      <c r="G45" s="2">
        <v>202.39099999999999</v>
      </c>
      <c r="H45" s="2">
        <v>294.20100000000002</v>
      </c>
      <c r="I45" s="2">
        <v>150.727</v>
      </c>
      <c r="J45" s="2">
        <v>142.916</v>
      </c>
      <c r="K45" s="2">
        <v>141.13999999999999</v>
      </c>
      <c r="L45" s="2">
        <v>162.48400000000001</v>
      </c>
      <c r="M45" s="2">
        <v>119.89700000000001</v>
      </c>
      <c r="N45" s="4">
        <f t="shared" si="1"/>
        <v>1877.87</v>
      </c>
    </row>
    <row r="46" spans="1:14" ht="15" x14ac:dyDescent="0.2">
      <c r="A46" s="9" t="s">
        <v>43</v>
      </c>
      <c r="B46" s="3">
        <v>18.254999999999999</v>
      </c>
      <c r="C46" s="2">
        <v>18.341999999999999</v>
      </c>
      <c r="D46" s="2">
        <v>9.5850000000000009</v>
      </c>
      <c r="E46" s="2">
        <v>13.632</v>
      </c>
      <c r="F46" s="2">
        <v>13.871</v>
      </c>
      <c r="G46" s="2">
        <v>12.846</v>
      </c>
      <c r="H46" s="2">
        <v>15.141</v>
      </c>
      <c r="I46" s="2">
        <v>17.422000000000001</v>
      </c>
      <c r="J46" s="2">
        <v>16.286999999999999</v>
      </c>
      <c r="K46" s="2">
        <v>13.612</v>
      </c>
      <c r="L46" s="2">
        <v>17.745000000000001</v>
      </c>
      <c r="M46" s="2">
        <v>12.362</v>
      </c>
      <c r="N46" s="4">
        <f t="shared" si="1"/>
        <v>179.1</v>
      </c>
    </row>
    <row r="47" spans="1:14" ht="15" x14ac:dyDescent="0.2">
      <c r="A47" s="9" t="s">
        <v>44</v>
      </c>
      <c r="B47" s="3">
        <v>2.806</v>
      </c>
      <c r="C47" s="2">
        <v>2.5059999999999998</v>
      </c>
      <c r="D47" s="2">
        <v>3.0640000000000001</v>
      </c>
      <c r="E47" s="2">
        <v>2.5329999999999999</v>
      </c>
      <c r="F47" s="2">
        <v>3.2349999999999999</v>
      </c>
      <c r="G47" s="2">
        <v>3.1259999999999999</v>
      </c>
      <c r="H47" s="2">
        <v>3.3450000000000002</v>
      </c>
      <c r="I47" s="2">
        <v>1.792</v>
      </c>
      <c r="J47" s="2">
        <v>2.7189999999999999</v>
      </c>
      <c r="K47" s="2">
        <v>3.7149999999999999</v>
      </c>
      <c r="L47" s="2">
        <v>2.544</v>
      </c>
      <c r="M47" s="2">
        <v>2.2919999999999998</v>
      </c>
      <c r="N47" s="4">
        <f t="shared" si="1"/>
        <v>33.677</v>
      </c>
    </row>
    <row r="48" spans="1:14" ht="15" x14ac:dyDescent="0.2">
      <c r="A48" s="9" t="s">
        <v>45</v>
      </c>
      <c r="B48" s="3">
        <v>254.233</v>
      </c>
      <c r="C48" s="2">
        <v>261.57499999999999</v>
      </c>
      <c r="D48" s="2">
        <v>242.63399999999999</v>
      </c>
      <c r="E48" s="2">
        <v>230.22399999999999</v>
      </c>
      <c r="F48" s="2">
        <v>227.07900000000001</v>
      </c>
      <c r="G48" s="2">
        <v>219.07400000000001</v>
      </c>
      <c r="H48" s="2">
        <v>259.85500000000002</v>
      </c>
      <c r="I48" s="2">
        <v>285.59199999999998</v>
      </c>
      <c r="J48" s="2">
        <v>238.13499999999999</v>
      </c>
      <c r="K48" s="2">
        <v>289.06</v>
      </c>
      <c r="L48" s="2">
        <v>278.56700000000001</v>
      </c>
      <c r="M48" s="2">
        <v>298.99400000000003</v>
      </c>
      <c r="N48" s="4">
        <f t="shared" si="1"/>
        <v>3085.0219999999999</v>
      </c>
    </row>
    <row r="49" spans="1:14" ht="15" x14ac:dyDescent="0.2">
      <c r="A49" s="10" t="s">
        <v>52</v>
      </c>
      <c r="B49" s="7">
        <v>197.29299999999998</v>
      </c>
      <c r="C49" s="5">
        <v>273.089</v>
      </c>
      <c r="D49" s="5">
        <v>253.1929999999993</v>
      </c>
      <c r="E49" s="5">
        <v>246.50399999999991</v>
      </c>
      <c r="F49" s="5">
        <v>165.89099999999996</v>
      </c>
      <c r="G49" s="5">
        <v>273.25099999999998</v>
      </c>
      <c r="H49" s="5">
        <v>278.0630000000001</v>
      </c>
      <c r="I49" s="5">
        <v>130.38799999999992</v>
      </c>
      <c r="J49" s="5">
        <v>275.94699999999921</v>
      </c>
      <c r="K49" s="5">
        <v>238.91099999999824</v>
      </c>
      <c r="L49" s="5">
        <v>305.95200000000114</v>
      </c>
      <c r="M49" s="5">
        <v>498.8610000000017</v>
      </c>
      <c r="N49" s="6">
        <f t="shared" si="1"/>
        <v>3137.3429999999994</v>
      </c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pageSetUpPr fitToPage="1"/>
  </sheetPr>
  <dimension ref="A1:N56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8.375" customWidth="1"/>
  </cols>
  <sheetData>
    <row r="1" spans="1:14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14" ht="20.25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16" customFormat="1" ht="21" customHeight="1" x14ac:dyDescent="0.2">
      <c r="A4" s="11" t="s">
        <v>13</v>
      </c>
      <c r="B4" s="12">
        <v>41275</v>
      </c>
      <c r="C4" s="13">
        <v>41306</v>
      </c>
      <c r="D4" s="13">
        <v>41334</v>
      </c>
      <c r="E4" s="13">
        <v>41365</v>
      </c>
      <c r="F4" s="13">
        <v>41395</v>
      </c>
      <c r="G4" s="13">
        <v>41426</v>
      </c>
      <c r="H4" s="13">
        <v>41456</v>
      </c>
      <c r="I4" s="14">
        <v>41487</v>
      </c>
      <c r="J4" s="14">
        <v>41518</v>
      </c>
      <c r="K4" s="14">
        <v>41548</v>
      </c>
      <c r="L4" s="13">
        <v>41579</v>
      </c>
      <c r="M4" s="13">
        <v>41609</v>
      </c>
      <c r="N4" s="15" t="s">
        <v>10</v>
      </c>
    </row>
    <row r="5" spans="1:14" s="21" customFormat="1" ht="21" customHeight="1" x14ac:dyDescent="0.2">
      <c r="A5" s="17" t="s">
        <v>0</v>
      </c>
      <c r="B5" s="18">
        <v>32.427999999999997</v>
      </c>
      <c r="C5" s="19">
        <v>28.007999999999999</v>
      </c>
      <c r="D5" s="19">
        <v>31</v>
      </c>
      <c r="E5" s="19">
        <v>31.344999999999999</v>
      </c>
      <c r="F5" s="19">
        <v>33.026000000000003</v>
      </c>
      <c r="G5" s="19">
        <v>30.465</v>
      </c>
      <c r="H5" s="19">
        <v>32.222000000000001</v>
      </c>
      <c r="I5" s="19">
        <v>30.466999999999999</v>
      </c>
      <c r="J5" s="19">
        <v>29.056999999999999</v>
      </c>
      <c r="K5" s="19">
        <v>30.728000000000002</v>
      </c>
      <c r="L5" s="19">
        <v>29.497</v>
      </c>
      <c r="M5" s="19">
        <v>30.097000000000001</v>
      </c>
      <c r="N5" s="20">
        <f t="shared" ref="N5:N49" si="0">SUM(B5:M5)</f>
        <v>368.34000000000003</v>
      </c>
    </row>
    <row r="6" spans="1:14" s="21" customFormat="1" ht="21" customHeight="1" x14ac:dyDescent="0.2">
      <c r="A6" s="22" t="s">
        <v>1</v>
      </c>
      <c r="B6" s="23">
        <v>5409</v>
      </c>
      <c r="C6" s="24">
        <v>4531</v>
      </c>
      <c r="D6" s="24">
        <v>4904</v>
      </c>
      <c r="E6" s="24">
        <v>5101</v>
      </c>
      <c r="F6" s="24">
        <v>5224</v>
      </c>
      <c r="G6" s="24">
        <v>4707</v>
      </c>
      <c r="H6" s="24">
        <v>5531</v>
      </c>
      <c r="I6" s="24">
        <v>4817</v>
      </c>
      <c r="J6" s="24">
        <v>4484</v>
      </c>
      <c r="K6" s="24">
        <v>4996</v>
      </c>
      <c r="L6" s="24">
        <v>4343</v>
      </c>
      <c r="M6" s="24">
        <v>3824</v>
      </c>
      <c r="N6" s="25">
        <f t="shared" si="0"/>
        <v>57871</v>
      </c>
    </row>
    <row r="7" spans="1:14" s="21" customFormat="1" ht="21" customHeight="1" x14ac:dyDescent="0.2">
      <c r="A7" s="26" t="s">
        <v>2</v>
      </c>
      <c r="B7" s="27">
        <v>319</v>
      </c>
      <c r="C7" s="28">
        <v>396</v>
      </c>
      <c r="D7" s="28">
        <v>73</v>
      </c>
      <c r="E7" s="28">
        <v>106</v>
      </c>
      <c r="F7" s="28">
        <v>-6</v>
      </c>
      <c r="G7" s="28">
        <v>130</v>
      </c>
      <c r="H7" s="28">
        <v>170</v>
      </c>
      <c r="I7" s="28">
        <v>380</v>
      </c>
      <c r="J7" s="28">
        <v>109</v>
      </c>
      <c r="K7" s="28">
        <v>263</v>
      </c>
      <c r="L7" s="28">
        <v>24</v>
      </c>
      <c r="M7" s="28">
        <v>1</v>
      </c>
      <c r="N7" s="29">
        <f t="shared" si="0"/>
        <v>1965</v>
      </c>
    </row>
    <row r="8" spans="1:14" s="21" customFormat="1" ht="21" customHeight="1" x14ac:dyDescent="0.2">
      <c r="A8" s="26" t="s">
        <v>3</v>
      </c>
      <c r="B8" s="27">
        <v>426</v>
      </c>
      <c r="C8" s="28">
        <v>250</v>
      </c>
      <c r="D8" s="28">
        <v>-66</v>
      </c>
      <c r="E8" s="28">
        <v>-289</v>
      </c>
      <c r="F8" s="28">
        <v>122</v>
      </c>
      <c r="G8" s="28">
        <v>-251</v>
      </c>
      <c r="H8" s="28">
        <v>412</v>
      </c>
      <c r="I8" s="28">
        <v>25</v>
      </c>
      <c r="J8" s="28">
        <v>-156</v>
      </c>
      <c r="K8" s="28">
        <v>498</v>
      </c>
      <c r="L8" s="28">
        <v>9</v>
      </c>
      <c r="M8" s="28">
        <v>-895</v>
      </c>
      <c r="N8" s="29">
        <f t="shared" si="0"/>
        <v>85</v>
      </c>
    </row>
    <row r="9" spans="1:14" s="21" customFormat="1" ht="21" customHeight="1" x14ac:dyDescent="0.2">
      <c r="A9" s="26" t="s">
        <v>4</v>
      </c>
      <c r="B9" s="27">
        <v>213</v>
      </c>
      <c r="C9" s="28">
        <v>-51</v>
      </c>
      <c r="D9" s="28">
        <v>68</v>
      </c>
      <c r="E9" s="28">
        <v>240</v>
      </c>
      <c r="F9" s="28">
        <v>-435</v>
      </c>
      <c r="G9" s="28">
        <v>6</v>
      </c>
      <c r="H9" s="28">
        <v>-21</v>
      </c>
      <c r="I9" s="28">
        <v>41</v>
      </c>
      <c r="J9" s="28">
        <v>-210</v>
      </c>
      <c r="K9" s="28">
        <v>113</v>
      </c>
      <c r="L9" s="28">
        <v>9</v>
      </c>
      <c r="M9" s="28">
        <v>-105</v>
      </c>
      <c r="N9" s="29">
        <f t="shared" si="0"/>
        <v>-132</v>
      </c>
    </row>
    <row r="10" spans="1:14" s="21" customFormat="1" ht="21" customHeight="1" x14ac:dyDescent="0.2">
      <c r="A10" s="26" t="s">
        <v>5</v>
      </c>
      <c r="B10" s="27">
        <v>89</v>
      </c>
      <c r="C10" s="28">
        <v>55</v>
      </c>
      <c r="D10" s="28">
        <v>92</v>
      </c>
      <c r="E10" s="28">
        <v>140</v>
      </c>
      <c r="F10" s="28">
        <v>62</v>
      </c>
      <c r="G10" s="28">
        <v>109</v>
      </c>
      <c r="H10" s="28">
        <v>62</v>
      </c>
      <c r="I10" s="28">
        <v>46</v>
      </c>
      <c r="J10" s="28">
        <v>42</v>
      </c>
      <c r="K10" s="28">
        <v>48</v>
      </c>
      <c r="L10" s="28">
        <v>15</v>
      </c>
      <c r="M10" s="28">
        <v>40</v>
      </c>
      <c r="N10" s="29">
        <f t="shared" si="0"/>
        <v>800</v>
      </c>
    </row>
    <row r="11" spans="1:14" s="21" customFormat="1" ht="21" customHeight="1" x14ac:dyDescent="0.2">
      <c r="A11" s="26" t="s">
        <v>6</v>
      </c>
      <c r="B11" s="27">
        <v>1</v>
      </c>
      <c r="C11" s="28">
        <v>1</v>
      </c>
      <c r="D11" s="28">
        <v>1</v>
      </c>
      <c r="E11" s="28">
        <v>1</v>
      </c>
      <c r="F11" s="28">
        <v>1</v>
      </c>
      <c r="G11" s="28">
        <v>1</v>
      </c>
      <c r="H11" s="28">
        <v>1</v>
      </c>
      <c r="I11" s="28">
        <v>1</v>
      </c>
      <c r="J11" s="28">
        <v>1</v>
      </c>
      <c r="K11" s="28">
        <v>1</v>
      </c>
      <c r="L11" s="28">
        <v>1</v>
      </c>
      <c r="M11" s="28">
        <v>1</v>
      </c>
      <c r="N11" s="29">
        <f t="shared" si="0"/>
        <v>12</v>
      </c>
    </row>
    <row r="12" spans="1:14" s="31" customFormat="1" ht="21" customHeight="1" x14ac:dyDescent="0.2">
      <c r="A12" s="22" t="s">
        <v>7</v>
      </c>
      <c r="B12" s="24">
        <v>5209.4279999999999</v>
      </c>
      <c r="C12" s="24">
        <v>4810.0079999999998</v>
      </c>
      <c r="D12" s="24">
        <v>5097</v>
      </c>
      <c r="E12" s="24">
        <v>5426.3450000000003</v>
      </c>
      <c r="F12" s="24">
        <v>5625.0259999999998</v>
      </c>
      <c r="G12" s="24">
        <v>5220.4650000000001</v>
      </c>
      <c r="H12" s="24">
        <v>5403.2219999999998</v>
      </c>
      <c r="I12" s="24">
        <v>5206.4669999999996</v>
      </c>
      <c r="J12" s="24">
        <v>5029.0569999999998</v>
      </c>
      <c r="K12" s="24">
        <v>4725.7280000000001</v>
      </c>
      <c r="L12" s="24">
        <v>4392.4970000000003</v>
      </c>
      <c r="M12" s="24">
        <v>4894.0969999999998</v>
      </c>
      <c r="N12" s="25">
        <f t="shared" si="0"/>
        <v>61039.340000000004</v>
      </c>
    </row>
    <row r="13" spans="1:14" s="21" customFormat="1" ht="21" customHeight="1" x14ac:dyDescent="0.2">
      <c r="A13" s="26" t="s">
        <v>12</v>
      </c>
      <c r="B13" s="27">
        <v>5016</v>
      </c>
      <c r="C13" s="28">
        <v>4308</v>
      </c>
      <c r="D13" s="28">
        <v>5000</v>
      </c>
      <c r="E13" s="28">
        <v>5420</v>
      </c>
      <c r="F13" s="28">
        <v>5135</v>
      </c>
      <c r="G13" s="28">
        <v>4987</v>
      </c>
      <c r="H13" s="28">
        <v>5150</v>
      </c>
      <c r="I13" s="28">
        <v>4821</v>
      </c>
      <c r="J13" s="28">
        <v>4668</v>
      </c>
      <c r="K13" s="28">
        <v>4528</v>
      </c>
      <c r="L13" s="28">
        <v>4362</v>
      </c>
      <c r="M13" s="28">
        <v>4748</v>
      </c>
      <c r="N13" s="29">
        <f t="shared" si="0"/>
        <v>58143</v>
      </c>
    </row>
    <row r="14" spans="1:14" s="21" customFormat="1" ht="21" customHeight="1" x14ac:dyDescent="0.2">
      <c r="A14" s="26" t="s">
        <v>8</v>
      </c>
      <c r="B14" s="27">
        <v>44.934000000000196</v>
      </c>
      <c r="C14" s="28">
        <v>41.768000000000029</v>
      </c>
      <c r="D14" s="28">
        <v>44</v>
      </c>
      <c r="E14" s="28">
        <v>47.345000000000255</v>
      </c>
      <c r="F14" s="28">
        <v>50.02599999999984</v>
      </c>
      <c r="G14" s="28">
        <v>45.465000000000146</v>
      </c>
      <c r="H14" s="28">
        <v>46.221999999999753</v>
      </c>
      <c r="I14" s="28">
        <v>48.466999999999643</v>
      </c>
      <c r="J14" s="28">
        <v>45.056999999999789</v>
      </c>
      <c r="K14" s="28">
        <v>41.728000000000065</v>
      </c>
      <c r="L14" s="28">
        <v>36.256000000000313</v>
      </c>
      <c r="M14" s="28">
        <v>46.282000000000153</v>
      </c>
      <c r="N14" s="29">
        <f t="shared" si="0"/>
        <v>537.55000000000018</v>
      </c>
    </row>
    <row r="15" spans="1:14" s="21" customFormat="1" ht="21" customHeight="1" x14ac:dyDescent="0.2">
      <c r="A15" s="22" t="s">
        <v>9</v>
      </c>
      <c r="B15" s="23">
        <v>5164.4940000000015</v>
      </c>
      <c r="C15" s="24">
        <v>4768.2399999999989</v>
      </c>
      <c r="D15" s="24">
        <v>5053</v>
      </c>
      <c r="E15" s="24">
        <v>5379</v>
      </c>
      <c r="F15" s="24">
        <v>5575</v>
      </c>
      <c r="G15" s="24">
        <v>5175</v>
      </c>
      <c r="H15" s="24">
        <v>5357</v>
      </c>
      <c r="I15" s="24">
        <v>5158</v>
      </c>
      <c r="J15" s="24">
        <v>4984</v>
      </c>
      <c r="K15" s="24">
        <v>4684</v>
      </c>
      <c r="L15" s="24">
        <v>4356.2410000000009</v>
      </c>
      <c r="M15" s="24">
        <v>4847.8150000000005</v>
      </c>
      <c r="N15" s="25">
        <f t="shared" si="0"/>
        <v>60501.79</v>
      </c>
    </row>
    <row r="16" spans="1:14" ht="15" x14ac:dyDescent="0.2">
      <c r="A16" s="9" t="s">
        <v>14</v>
      </c>
      <c r="B16" s="3">
        <v>165.47800000000001</v>
      </c>
      <c r="C16" s="2">
        <v>145.26</v>
      </c>
      <c r="D16" s="2">
        <v>163.99799999999999</v>
      </c>
      <c r="E16" s="2">
        <v>173.143</v>
      </c>
      <c r="F16" s="2">
        <v>170.232</v>
      </c>
      <c r="G16" s="2">
        <v>166.39599999999999</v>
      </c>
      <c r="H16" s="2">
        <v>163.66999999999999</v>
      </c>
      <c r="I16" s="2">
        <v>166.751</v>
      </c>
      <c r="J16" s="2">
        <v>170.80500000000001</v>
      </c>
      <c r="K16" s="2">
        <v>131.68299999999999</v>
      </c>
      <c r="L16" s="2">
        <v>128.328</v>
      </c>
      <c r="M16" s="2">
        <v>133.83000000000001</v>
      </c>
      <c r="N16" s="4">
        <f t="shared" si="0"/>
        <v>1879.5739999999998</v>
      </c>
    </row>
    <row r="17" spans="1:14" ht="15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</row>
    <row r="18" spans="1:14" ht="15" x14ac:dyDescent="0.2">
      <c r="A18" s="9" t="s">
        <v>16</v>
      </c>
      <c r="B18" s="3">
        <v>98.183000000000007</v>
      </c>
      <c r="C18" s="2">
        <v>98.259</v>
      </c>
      <c r="D18" s="2">
        <v>103.458</v>
      </c>
      <c r="E18" s="2">
        <v>111.877</v>
      </c>
      <c r="F18" s="2">
        <v>104.733</v>
      </c>
      <c r="G18" s="2">
        <v>97.063999999999993</v>
      </c>
      <c r="H18" s="2">
        <v>95.266999999999996</v>
      </c>
      <c r="I18" s="2">
        <v>86.134</v>
      </c>
      <c r="J18" s="2">
        <v>76.126999999999995</v>
      </c>
      <c r="K18" s="2">
        <v>90.33</v>
      </c>
      <c r="L18" s="2">
        <v>86.320999999999998</v>
      </c>
      <c r="M18" s="2">
        <v>96.846999999999994</v>
      </c>
      <c r="N18" s="4">
        <f t="shared" si="0"/>
        <v>1144.5999999999999</v>
      </c>
    </row>
    <row r="19" spans="1:14" ht="15" x14ac:dyDescent="0.2">
      <c r="A19" s="9" t="s">
        <v>17</v>
      </c>
      <c r="B19" s="3">
        <v>55.104999999999997</v>
      </c>
      <c r="C19" s="2">
        <v>45.774999999999999</v>
      </c>
      <c r="D19" s="2">
        <v>50.448999999999998</v>
      </c>
      <c r="E19" s="2">
        <v>49.753999999999998</v>
      </c>
      <c r="F19" s="2">
        <v>50.37</v>
      </c>
      <c r="G19" s="2">
        <v>49.222999999999999</v>
      </c>
      <c r="H19" s="2">
        <v>45.53</v>
      </c>
      <c r="I19" s="2">
        <v>48.485999999999997</v>
      </c>
      <c r="J19" s="2">
        <v>43.424999999999997</v>
      </c>
      <c r="K19" s="2">
        <v>42.222999999999999</v>
      </c>
      <c r="L19" s="2">
        <v>43.072000000000003</v>
      </c>
      <c r="M19" s="2">
        <v>44.475000000000001</v>
      </c>
      <c r="N19" s="4">
        <f t="shared" si="0"/>
        <v>567.88700000000006</v>
      </c>
    </row>
    <row r="20" spans="1:14" ht="15" x14ac:dyDescent="0.2">
      <c r="A20" s="9" t="s">
        <v>18</v>
      </c>
      <c r="B20" s="3">
        <v>27.048999999999999</v>
      </c>
      <c r="C20" s="2">
        <v>10.792999999999999</v>
      </c>
      <c r="D20" s="2">
        <v>39.959000000000003</v>
      </c>
      <c r="E20" s="2">
        <v>36.156999999999996</v>
      </c>
      <c r="F20" s="2">
        <v>31.379000000000001</v>
      </c>
      <c r="G20" s="2">
        <v>32.466000000000001</v>
      </c>
      <c r="H20" s="2">
        <v>26.782</v>
      </c>
      <c r="I20" s="2">
        <v>24.108000000000001</v>
      </c>
      <c r="J20" s="2">
        <v>17.199000000000002</v>
      </c>
      <c r="K20" s="2">
        <v>25.507999999999999</v>
      </c>
      <c r="L20" s="2">
        <v>34.729999999999997</v>
      </c>
      <c r="M20" s="2">
        <v>38.954000000000001</v>
      </c>
      <c r="N20" s="4">
        <f t="shared" si="0"/>
        <v>345.08400000000006</v>
      </c>
    </row>
    <row r="21" spans="1:14" ht="15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14" ht="15" x14ac:dyDescent="0.2">
      <c r="A22" s="9" t="s">
        <v>20</v>
      </c>
      <c r="B22" s="3">
        <v>117.07899999999999</v>
      </c>
      <c r="C22" s="2">
        <v>119.79600000000001</v>
      </c>
      <c r="D22" s="2">
        <v>118.279</v>
      </c>
      <c r="E22" s="2">
        <v>62.78</v>
      </c>
      <c r="F22" s="2">
        <v>80.350999999999999</v>
      </c>
      <c r="G22" s="2">
        <v>115.107</v>
      </c>
      <c r="H22" s="2">
        <v>114.63200000000001</v>
      </c>
      <c r="I22" s="2">
        <v>114.19799999999999</v>
      </c>
      <c r="J22" s="2">
        <v>105.65600000000001</v>
      </c>
      <c r="K22" s="2">
        <v>115.321</v>
      </c>
      <c r="L22" s="2">
        <v>105.29300000000001</v>
      </c>
      <c r="M22" s="2">
        <v>118.73699999999999</v>
      </c>
      <c r="N22" s="4">
        <f t="shared" si="0"/>
        <v>1287.2289999999998</v>
      </c>
    </row>
    <row r="23" spans="1:14" ht="15" x14ac:dyDescent="0.2">
      <c r="A23" s="9" t="s">
        <v>21</v>
      </c>
      <c r="B23" s="3">
        <v>5.2450000000000001</v>
      </c>
      <c r="C23" s="2">
        <v>2.1560000000000001</v>
      </c>
      <c r="D23" s="2">
        <v>2.97</v>
      </c>
      <c r="E23" s="2">
        <v>4.3109999999999999</v>
      </c>
      <c r="F23" s="2">
        <v>6.3109999999999999</v>
      </c>
      <c r="G23" s="2">
        <v>1.3149999999999999</v>
      </c>
      <c r="H23" s="2">
        <v>7.4470000000000001</v>
      </c>
      <c r="I23" s="2">
        <v>5.9219999999999997</v>
      </c>
      <c r="J23" s="2">
        <v>7.0679999999999996</v>
      </c>
      <c r="K23" s="2">
        <v>5.4180000000000001</v>
      </c>
      <c r="L23" s="2">
        <v>5.266</v>
      </c>
      <c r="M23" s="2">
        <v>6.1769999999999996</v>
      </c>
      <c r="N23" s="4">
        <f t="shared" si="0"/>
        <v>59.605999999999995</v>
      </c>
    </row>
    <row r="24" spans="1:14" ht="15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14" ht="15" x14ac:dyDescent="0.2">
      <c r="A25" s="9" t="s">
        <v>23</v>
      </c>
      <c r="B25" s="3">
        <v>568.20500000000004</v>
      </c>
      <c r="C25" s="2">
        <v>486.09100000000012</v>
      </c>
      <c r="D25" s="2">
        <v>511.81299999999999</v>
      </c>
      <c r="E25" s="2">
        <v>540.90599999999995</v>
      </c>
      <c r="F25" s="2">
        <v>602.25799999999992</v>
      </c>
      <c r="G25" s="2">
        <v>513.42600000000004</v>
      </c>
      <c r="H25" s="2">
        <v>522.70800000000008</v>
      </c>
      <c r="I25" s="2">
        <v>532.29099999999994</v>
      </c>
      <c r="J25" s="2">
        <v>518.65499999999997</v>
      </c>
      <c r="K25" s="2">
        <v>443.49</v>
      </c>
      <c r="L25" s="2">
        <v>408.613</v>
      </c>
      <c r="M25" s="2">
        <v>475.62099999999998</v>
      </c>
      <c r="N25" s="4">
        <f t="shared" si="0"/>
        <v>6124.0770000000002</v>
      </c>
    </row>
    <row r="26" spans="1:14" ht="15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14" ht="15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14" ht="15" x14ac:dyDescent="0.2">
      <c r="A28" s="9" t="s">
        <v>26</v>
      </c>
      <c r="B28" s="3">
        <v>12.252000000000001</v>
      </c>
      <c r="C28" s="2">
        <v>17.509</v>
      </c>
      <c r="D28" s="2">
        <v>24.402000000000001</v>
      </c>
      <c r="E28" s="2">
        <v>1.18</v>
      </c>
      <c r="F28" s="2">
        <v>15.55</v>
      </c>
      <c r="G28" s="2">
        <v>13.252000000000001</v>
      </c>
      <c r="H28" s="2">
        <v>14.601000000000001</v>
      </c>
      <c r="I28" s="2">
        <v>14.494</v>
      </c>
      <c r="J28" s="2">
        <v>4.0149999999999997</v>
      </c>
      <c r="K28" s="2">
        <v>10.840999999999999</v>
      </c>
      <c r="L28" s="2">
        <v>6.149</v>
      </c>
      <c r="M28" s="2">
        <v>14.705</v>
      </c>
      <c r="N28" s="4">
        <f t="shared" si="0"/>
        <v>148.95000000000002</v>
      </c>
    </row>
    <row r="29" spans="1:14" ht="15" x14ac:dyDescent="0.2">
      <c r="A29" s="9" t="s">
        <v>27</v>
      </c>
      <c r="B29" s="3">
        <v>0</v>
      </c>
      <c r="C29" s="2">
        <v>0</v>
      </c>
      <c r="D29" s="2">
        <v>4.0000000000000001E-3</v>
      </c>
      <c r="E29" s="2">
        <v>4.0000000000000001E-3</v>
      </c>
      <c r="F29" s="2">
        <v>0</v>
      </c>
      <c r="G29" s="2">
        <v>6.0000000000000001E-3</v>
      </c>
      <c r="H29" s="2">
        <v>4.0000000000000001E-3</v>
      </c>
      <c r="I29" s="2">
        <v>0</v>
      </c>
      <c r="J29" s="2">
        <v>0</v>
      </c>
      <c r="K29" s="2">
        <v>4.0000000000000001E-3</v>
      </c>
      <c r="L29" s="2">
        <v>0</v>
      </c>
      <c r="M29" s="2">
        <v>0</v>
      </c>
      <c r="N29" s="4">
        <f t="shared" si="0"/>
        <v>2.2000000000000002E-2</v>
      </c>
    </row>
    <row r="30" spans="1:14" ht="15" x14ac:dyDescent="0.2">
      <c r="A30" s="9" t="s">
        <v>28</v>
      </c>
      <c r="B30" s="3">
        <v>736.22199999999998</v>
      </c>
      <c r="C30" s="2">
        <v>608.88599999999997</v>
      </c>
      <c r="D30" s="2">
        <v>683.322</v>
      </c>
      <c r="E30" s="2">
        <v>776.01900000000001</v>
      </c>
      <c r="F30" s="2">
        <v>786.34299999999996</v>
      </c>
      <c r="G30" s="2">
        <v>756.67</v>
      </c>
      <c r="H30" s="2">
        <v>770.65899999999999</v>
      </c>
      <c r="I30" s="2">
        <v>689.99099999999999</v>
      </c>
      <c r="J30" s="2">
        <v>700.88199999999995</v>
      </c>
      <c r="K30" s="2">
        <v>653.52</v>
      </c>
      <c r="L30" s="2">
        <v>613.87699999999995</v>
      </c>
      <c r="M30" s="2">
        <v>701.23800000000006</v>
      </c>
      <c r="N30" s="4">
        <f t="shared" si="0"/>
        <v>8477.628999999999</v>
      </c>
    </row>
    <row r="31" spans="1:14" ht="15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3.0000000000000001E-3</v>
      </c>
      <c r="K31" s="2">
        <v>0</v>
      </c>
      <c r="L31" s="2">
        <v>0</v>
      </c>
      <c r="M31" s="2">
        <v>0</v>
      </c>
      <c r="N31" s="4">
        <f t="shared" si="0"/>
        <v>3.0000000000000001E-3</v>
      </c>
    </row>
    <row r="32" spans="1:14" ht="15" x14ac:dyDescent="0.2">
      <c r="A32" s="9" t="s">
        <v>30</v>
      </c>
      <c r="B32" s="3">
        <v>198.42400000000001</v>
      </c>
      <c r="C32" s="2">
        <v>181.654</v>
      </c>
      <c r="D32" s="2">
        <v>184.19399999999999</v>
      </c>
      <c r="E32" s="2">
        <v>227.01400000000001</v>
      </c>
      <c r="F32" s="2">
        <v>214.035</v>
      </c>
      <c r="G32" s="2">
        <v>201.15</v>
      </c>
      <c r="H32" s="2">
        <v>206.96700000000001</v>
      </c>
      <c r="I32" s="2">
        <v>256.16899999999998</v>
      </c>
      <c r="J32" s="2">
        <v>223.11500000000001</v>
      </c>
      <c r="K32" s="2">
        <v>201.33199999999999</v>
      </c>
      <c r="L32" s="2">
        <v>173.09299999999999</v>
      </c>
      <c r="M32" s="2">
        <v>169.779</v>
      </c>
      <c r="N32" s="4">
        <f t="shared" si="0"/>
        <v>2436.9259999999999</v>
      </c>
    </row>
    <row r="33" spans="1:14" ht="15" x14ac:dyDescent="0.2">
      <c r="A33" s="9" t="s">
        <v>31</v>
      </c>
      <c r="B33" s="3">
        <v>41.912999999999997</v>
      </c>
      <c r="C33" s="2">
        <v>34.866</v>
      </c>
      <c r="D33" s="2">
        <v>34.722999999999999</v>
      </c>
      <c r="E33" s="2">
        <v>40.853000000000002</v>
      </c>
      <c r="F33" s="2">
        <v>31.398</v>
      </c>
      <c r="G33" s="2">
        <v>28.413</v>
      </c>
      <c r="H33" s="2">
        <v>25.988</v>
      </c>
      <c r="I33" s="2">
        <v>36.838999999999999</v>
      </c>
      <c r="J33" s="2">
        <v>28.533999999999999</v>
      </c>
      <c r="K33" s="2">
        <v>32.152000000000001</v>
      </c>
      <c r="L33" s="2">
        <v>38.814999999999998</v>
      </c>
      <c r="M33" s="2">
        <v>35.606000000000002</v>
      </c>
      <c r="N33" s="4">
        <f t="shared" si="0"/>
        <v>410.09999999999997</v>
      </c>
    </row>
    <row r="34" spans="1:14" ht="15" x14ac:dyDescent="0.2">
      <c r="A34" s="9" t="s">
        <v>32</v>
      </c>
      <c r="B34" s="3">
        <v>1.7490000000000001</v>
      </c>
      <c r="C34" s="2">
        <v>5.3869999999999996</v>
      </c>
      <c r="D34" s="2">
        <v>1.7989999999999999</v>
      </c>
      <c r="E34" s="2">
        <v>0.35499999999999998</v>
      </c>
      <c r="F34" s="2">
        <v>0.11899999999999999</v>
      </c>
      <c r="G34" s="2">
        <v>0.33500000000000002</v>
      </c>
      <c r="H34" s="2">
        <v>0</v>
      </c>
      <c r="I34" s="2">
        <v>0.217</v>
      </c>
      <c r="J34" s="2">
        <v>0</v>
      </c>
      <c r="K34" s="2">
        <v>0.24199999999999999</v>
      </c>
      <c r="L34" s="2">
        <v>0.79</v>
      </c>
      <c r="M34" s="2">
        <v>13.151</v>
      </c>
      <c r="N34" s="4">
        <f t="shared" si="0"/>
        <v>24.143999999999998</v>
      </c>
    </row>
    <row r="35" spans="1:14" ht="15" x14ac:dyDescent="0.2">
      <c r="A35" s="9" t="s">
        <v>33</v>
      </c>
      <c r="B35" s="3">
        <v>0.252</v>
      </c>
      <c r="C35" s="2">
        <v>0.82399999999999995</v>
      </c>
      <c r="D35" s="2">
        <v>0.60199999999999998</v>
      </c>
      <c r="E35" s="2">
        <v>7.0000000000000001E-3</v>
      </c>
      <c r="F35" s="2">
        <v>0.02</v>
      </c>
      <c r="G35" s="2">
        <v>5.0000000000000001E-3</v>
      </c>
      <c r="H35" s="2">
        <v>0.124</v>
      </c>
      <c r="I35" s="2">
        <v>11.984</v>
      </c>
      <c r="J35" s="2">
        <v>5.0000000000000001E-3</v>
      </c>
      <c r="K35" s="2">
        <v>0</v>
      </c>
      <c r="L35" s="2">
        <v>1.4E-2</v>
      </c>
      <c r="M35" s="2">
        <v>5.5E-2</v>
      </c>
      <c r="N35" s="4">
        <f t="shared" si="0"/>
        <v>13.891999999999999</v>
      </c>
    </row>
    <row r="36" spans="1:14" ht="15" x14ac:dyDescent="0.2">
      <c r="A36" s="9" t="s">
        <v>34</v>
      </c>
      <c r="B36" s="3">
        <v>0</v>
      </c>
      <c r="C36" s="2">
        <v>2E-3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0.28899999999999998</v>
      </c>
      <c r="K36" s="2">
        <v>1.2E-2</v>
      </c>
      <c r="L36" s="2">
        <v>0</v>
      </c>
      <c r="M36" s="2">
        <v>0</v>
      </c>
      <c r="N36" s="4">
        <f t="shared" si="0"/>
        <v>0.30299999999999999</v>
      </c>
    </row>
    <row r="37" spans="1:14" ht="15" x14ac:dyDescent="0.2">
      <c r="A37" s="9" t="s">
        <v>35</v>
      </c>
      <c r="B37" s="3">
        <v>1959.086</v>
      </c>
      <c r="C37" s="2">
        <v>1863.921</v>
      </c>
      <c r="D37" s="2">
        <v>2028.876</v>
      </c>
      <c r="E37" s="2">
        <v>2085.7849999999999</v>
      </c>
      <c r="F37" s="2">
        <v>2111.4630000000002</v>
      </c>
      <c r="G37" s="2">
        <v>2049.2469999999998</v>
      </c>
      <c r="H37" s="2">
        <v>2067.8879999999999</v>
      </c>
      <c r="I37" s="2">
        <v>2023.96</v>
      </c>
      <c r="J37" s="2">
        <v>1954.172</v>
      </c>
      <c r="K37" s="2">
        <v>1889.5940000000001</v>
      </c>
      <c r="L37" s="2">
        <v>1807.3810000000001</v>
      </c>
      <c r="M37" s="2">
        <v>1918.1880000000001</v>
      </c>
      <c r="N37" s="4">
        <f t="shared" si="0"/>
        <v>23759.561000000002</v>
      </c>
    </row>
    <row r="38" spans="1:14" ht="15" x14ac:dyDescent="0.2">
      <c r="A38" s="9" t="s">
        <v>36</v>
      </c>
      <c r="B38" s="3">
        <v>5.5759999999999996</v>
      </c>
      <c r="C38" s="2">
        <v>6.3460000000000001</v>
      </c>
      <c r="D38" s="2">
        <v>17.806000000000001</v>
      </c>
      <c r="E38" s="2">
        <v>2.9830000000000001</v>
      </c>
      <c r="F38" s="2">
        <v>16.965</v>
      </c>
      <c r="G38" s="2">
        <v>9.85</v>
      </c>
      <c r="H38" s="2">
        <v>15.032999999999999</v>
      </c>
      <c r="I38" s="2">
        <v>2.831</v>
      </c>
      <c r="J38" s="2">
        <v>4.8819999999999997</v>
      </c>
      <c r="K38" s="2">
        <v>15.667999999999999</v>
      </c>
      <c r="L38" s="2">
        <v>20.907</v>
      </c>
      <c r="M38" s="2">
        <v>19.221</v>
      </c>
      <c r="N38" s="4">
        <f t="shared" si="0"/>
        <v>138.06799999999998</v>
      </c>
    </row>
    <row r="39" spans="1:14" ht="15" x14ac:dyDescent="0.2">
      <c r="A39" s="9" t="s">
        <v>37</v>
      </c>
      <c r="B39" s="3">
        <v>0</v>
      </c>
      <c r="C39" s="2">
        <v>0</v>
      </c>
      <c r="D39" s="2">
        <v>0</v>
      </c>
      <c r="E39" s="2">
        <v>3.0000000000000001E-3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3.0000000000000001E-3</v>
      </c>
    </row>
    <row r="40" spans="1:14" ht="15" x14ac:dyDescent="0.2">
      <c r="A40" s="9" t="s">
        <v>38</v>
      </c>
      <c r="B40" s="3">
        <v>35.33</v>
      </c>
      <c r="C40" s="2">
        <v>1.0880000000000001</v>
      </c>
      <c r="D40" s="2">
        <v>3.5219999999999998</v>
      </c>
      <c r="E40" s="2">
        <v>22.042000000000002</v>
      </c>
      <c r="F40" s="2">
        <v>3.298</v>
      </c>
      <c r="G40" s="2">
        <v>4.7969999999999997</v>
      </c>
      <c r="H40" s="2">
        <v>2.39</v>
      </c>
      <c r="I40" s="2">
        <v>2.8159999999999998</v>
      </c>
      <c r="J40" s="2">
        <v>2.9569999999999999</v>
      </c>
      <c r="K40" s="2">
        <v>18.864999999999998</v>
      </c>
      <c r="L40" s="2">
        <v>0</v>
      </c>
      <c r="M40" s="2">
        <v>0.85499999999999998</v>
      </c>
      <c r="N40" s="4">
        <f t="shared" si="0"/>
        <v>97.96</v>
      </c>
    </row>
    <row r="41" spans="1:14" ht="15" x14ac:dyDescent="0.2">
      <c r="A41" s="9" t="s">
        <v>39</v>
      </c>
      <c r="B41" s="3">
        <v>1.0580000000000001</v>
      </c>
      <c r="C41" s="2">
        <v>0.41699999999999998</v>
      </c>
      <c r="D41" s="2">
        <v>1.984</v>
      </c>
      <c r="E41" s="2">
        <v>0.40100000000000002</v>
      </c>
      <c r="F41" s="2">
        <v>0.26600000000000001</v>
      </c>
      <c r="G41" s="2">
        <v>0.61299999999999999</v>
      </c>
      <c r="H41" s="2">
        <v>0.92</v>
      </c>
      <c r="I41" s="2">
        <v>2.3029999999999999</v>
      </c>
      <c r="J41" s="2">
        <v>0.70799999999999996</v>
      </c>
      <c r="K41" s="2">
        <v>0</v>
      </c>
      <c r="L41" s="2">
        <v>0</v>
      </c>
      <c r="M41" s="2">
        <v>1.6140000000000001</v>
      </c>
      <c r="N41" s="4">
        <f t="shared" si="0"/>
        <v>10.284000000000001</v>
      </c>
    </row>
    <row r="42" spans="1:14" ht="15" x14ac:dyDescent="0.2">
      <c r="A42" s="9" t="s">
        <v>57</v>
      </c>
      <c r="B42" s="3">
        <v>43.656999999999996</v>
      </c>
      <c r="C42" s="2">
        <v>49.548999999999999</v>
      </c>
      <c r="D42" s="2">
        <v>7.4829999999999997</v>
      </c>
      <c r="E42" s="2">
        <v>14.86</v>
      </c>
      <c r="F42" s="2">
        <v>0.33800000000000002</v>
      </c>
      <c r="G42" s="2">
        <v>16.535</v>
      </c>
      <c r="H42" s="2">
        <v>37.976999999999997</v>
      </c>
      <c r="I42" s="2">
        <v>12.254</v>
      </c>
      <c r="J42" s="2">
        <v>27.024999999999999</v>
      </c>
      <c r="K42" s="2">
        <v>23.164999999999999</v>
      </c>
      <c r="L42" s="2">
        <v>21.701000000000001</v>
      </c>
      <c r="M42" s="2">
        <v>8.0790000000000006</v>
      </c>
      <c r="N42" s="4">
        <f t="shared" si="0"/>
        <v>262.62299999999999</v>
      </c>
    </row>
    <row r="43" spans="1:14" ht="15" x14ac:dyDescent="0.2">
      <c r="A43" s="9" t="s">
        <v>40</v>
      </c>
      <c r="B43" s="3">
        <v>444.08699999999999</v>
      </c>
      <c r="C43" s="2">
        <v>378.28300000000002</v>
      </c>
      <c r="D43" s="2">
        <v>409.01100000000002</v>
      </c>
      <c r="E43" s="2">
        <v>459.93</v>
      </c>
      <c r="F43" s="2">
        <v>433.91300000000001</v>
      </c>
      <c r="G43" s="2">
        <v>459.05500000000001</v>
      </c>
      <c r="H43" s="2">
        <v>439.62200000000001</v>
      </c>
      <c r="I43" s="2">
        <v>404.47800000000001</v>
      </c>
      <c r="J43" s="2">
        <v>376.23599999999999</v>
      </c>
      <c r="K43" s="2">
        <v>351.55600000000004</v>
      </c>
      <c r="L43" s="2">
        <v>304.53199999999998</v>
      </c>
      <c r="M43" s="2">
        <v>464.65199999999999</v>
      </c>
      <c r="N43" s="4">
        <f t="shared" si="0"/>
        <v>4925.3550000000005</v>
      </c>
    </row>
    <row r="44" spans="1:14" ht="15" x14ac:dyDescent="0.2">
      <c r="A44" s="9" t="s">
        <v>41</v>
      </c>
      <c r="B44" s="3">
        <v>11.666</v>
      </c>
      <c r="C44" s="2">
        <v>13.09</v>
      </c>
      <c r="D44" s="2">
        <v>16.361000000000001</v>
      </c>
      <c r="E44" s="2">
        <v>12.619</v>
      </c>
      <c r="F44" s="2">
        <v>18.597000000000001</v>
      </c>
      <c r="G44" s="2">
        <v>17.544</v>
      </c>
      <c r="H44" s="2">
        <v>18.922000000000001</v>
      </c>
      <c r="I44" s="2">
        <v>16.763000000000002</v>
      </c>
      <c r="J44" s="2">
        <v>15.744999999999999</v>
      </c>
      <c r="K44" s="2">
        <v>17.259</v>
      </c>
      <c r="L44" s="2">
        <v>15.574999999999999</v>
      </c>
      <c r="M44" s="2">
        <v>16.506</v>
      </c>
      <c r="N44" s="4">
        <f t="shared" si="0"/>
        <v>190.64699999999996</v>
      </c>
    </row>
    <row r="45" spans="1:14" ht="15" x14ac:dyDescent="0.2">
      <c r="A45" s="9" t="s">
        <v>42</v>
      </c>
      <c r="B45" s="3">
        <v>144.77699999999999</v>
      </c>
      <c r="C45" s="2">
        <v>123.7</v>
      </c>
      <c r="D45" s="2">
        <v>137.30600000000001</v>
      </c>
      <c r="E45" s="2">
        <v>198.11</v>
      </c>
      <c r="F45" s="2">
        <v>193.13300000000001</v>
      </c>
      <c r="G45" s="2">
        <v>192.63200000000001</v>
      </c>
      <c r="H45" s="2">
        <v>176.40600000000001</v>
      </c>
      <c r="I45" s="2">
        <v>164.952</v>
      </c>
      <c r="J45" s="2">
        <v>249.839</v>
      </c>
      <c r="K45" s="2">
        <v>199.738</v>
      </c>
      <c r="L45" s="2">
        <v>161.69300000000001</v>
      </c>
      <c r="M45" s="2">
        <v>131.59700000000001</v>
      </c>
      <c r="N45" s="4">
        <f t="shared" si="0"/>
        <v>2073.8830000000003</v>
      </c>
    </row>
    <row r="46" spans="1:14" ht="15" x14ac:dyDescent="0.2">
      <c r="A46" s="9" t="s">
        <v>43</v>
      </c>
      <c r="B46" s="3">
        <v>12.59</v>
      </c>
      <c r="C46" s="2">
        <v>10.23</v>
      </c>
      <c r="D46" s="2">
        <v>13.759</v>
      </c>
      <c r="E46" s="2">
        <v>12.698</v>
      </c>
      <c r="F46" s="2">
        <v>12.32</v>
      </c>
      <c r="G46" s="2">
        <v>13.284000000000001</v>
      </c>
      <c r="H46" s="2">
        <v>13.792</v>
      </c>
      <c r="I46" s="2">
        <v>10.464</v>
      </c>
      <c r="J46" s="2">
        <v>17.861000000000001</v>
      </c>
      <c r="K46" s="2">
        <v>19.655999999999999</v>
      </c>
      <c r="L46" s="2">
        <v>23.294</v>
      </c>
      <c r="M46" s="2">
        <v>20.239999999999998</v>
      </c>
      <c r="N46" s="4">
        <f t="shared" si="0"/>
        <v>180.18800000000002</v>
      </c>
    </row>
    <row r="47" spans="1:14" ht="15" x14ac:dyDescent="0.2">
      <c r="A47" s="9" t="s">
        <v>44</v>
      </c>
      <c r="B47" s="3">
        <v>3.331</v>
      </c>
      <c r="C47" s="2">
        <v>2.8820000000000001</v>
      </c>
      <c r="D47" s="2">
        <v>3.3820000000000001</v>
      </c>
      <c r="E47" s="2">
        <v>2.992</v>
      </c>
      <c r="F47" s="2">
        <v>2.714</v>
      </c>
      <c r="G47" s="2">
        <v>3.129</v>
      </c>
      <c r="H47" s="2">
        <v>3.5379999999999998</v>
      </c>
      <c r="I47" s="2">
        <v>2.4900000000000002</v>
      </c>
      <c r="J47" s="2">
        <v>3.5059999999999998</v>
      </c>
      <c r="K47" s="2">
        <v>3.9049999999999998</v>
      </c>
      <c r="L47" s="2">
        <v>2.7040000000000002</v>
      </c>
      <c r="M47" s="2">
        <v>1.698</v>
      </c>
      <c r="N47" s="4">
        <f t="shared" si="0"/>
        <v>36.271000000000001</v>
      </c>
    </row>
    <row r="48" spans="1:14" ht="15" x14ac:dyDescent="0.2">
      <c r="A48" s="9" t="s">
        <v>45</v>
      </c>
      <c r="B48" s="3">
        <v>288.54399999999998</v>
      </c>
      <c r="C48" s="2">
        <v>261.37799999999999</v>
      </c>
      <c r="D48" s="2">
        <v>272.255</v>
      </c>
      <c r="E48" s="2">
        <v>278.38499999999999</v>
      </c>
      <c r="F48" s="2">
        <v>291.49</v>
      </c>
      <c r="G48" s="2">
        <v>293.41899999999998</v>
      </c>
      <c r="H48" s="2">
        <v>297.959</v>
      </c>
      <c r="I48" s="2">
        <v>293.33499999999998</v>
      </c>
      <c r="J48" s="2">
        <v>290.51299999999998</v>
      </c>
      <c r="K48" s="2">
        <v>303.399</v>
      </c>
      <c r="L48" s="2">
        <v>289.58199999999999</v>
      </c>
      <c r="M48" s="2">
        <v>276.03100000000001</v>
      </c>
      <c r="N48" s="4">
        <f t="shared" si="0"/>
        <v>3436.2899999999995</v>
      </c>
    </row>
    <row r="49" spans="1:14" ht="15" x14ac:dyDescent="0.2">
      <c r="A49" s="10" t="s">
        <v>52</v>
      </c>
      <c r="B49" s="7">
        <v>187.63600000000002</v>
      </c>
      <c r="C49" s="5">
        <v>300.09800000000001</v>
      </c>
      <c r="D49" s="5">
        <v>221.28300000000036</v>
      </c>
      <c r="E49" s="5">
        <v>263.83199999999943</v>
      </c>
      <c r="F49" s="5">
        <v>397.40400000000227</v>
      </c>
      <c r="G49" s="5">
        <v>140.06700000000183</v>
      </c>
      <c r="H49" s="5">
        <v>288.17399999999998</v>
      </c>
      <c r="I49" s="5">
        <v>233.77000000000044</v>
      </c>
      <c r="J49" s="5">
        <v>144.77800000000025</v>
      </c>
      <c r="K49" s="5">
        <v>89.118999999999687</v>
      </c>
      <c r="L49" s="5">
        <v>64.511000000000024</v>
      </c>
      <c r="M49" s="5">
        <v>139.95899999999997</v>
      </c>
      <c r="N49" s="6">
        <f t="shared" si="0"/>
        <v>2470.631000000004</v>
      </c>
    </row>
    <row r="50" spans="1:14" x14ac:dyDescent="0.2">
      <c r="B50">
        <v>5164.4940000000015</v>
      </c>
      <c r="C50">
        <v>4768.2399999999989</v>
      </c>
      <c r="D50">
        <v>5053</v>
      </c>
      <c r="E50">
        <v>5379</v>
      </c>
      <c r="F50">
        <v>5575</v>
      </c>
      <c r="G50">
        <v>5175</v>
      </c>
      <c r="H50">
        <v>5357</v>
      </c>
      <c r="I50" s="1">
        <v>5158</v>
      </c>
      <c r="J50" s="1">
        <v>4984</v>
      </c>
      <c r="K50" s="1">
        <v>4684</v>
      </c>
      <c r="L50">
        <v>4356.2410000000009</v>
      </c>
      <c r="M50">
        <v>4847.8150000000005</v>
      </c>
    </row>
    <row r="53" spans="1:14" x14ac:dyDescent="0.2"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</row>
    <row r="54" spans="1:14" x14ac:dyDescent="0.2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</row>
    <row r="55" spans="1:14" x14ac:dyDescent="0.2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</row>
    <row r="56" spans="1:14" x14ac:dyDescent="0.2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pageSetUpPr fitToPage="1"/>
  </sheetPr>
  <dimension ref="A1:N56"/>
  <sheetViews>
    <sheetView showGridLines="0" zoomScale="70" zoomScaleNormal="70" workbookViewId="0">
      <pane xSplit="1" topLeftCell="B1" activePane="topRight" state="frozen"/>
      <selection activeCell="A35" sqref="A35"/>
      <selection pane="top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8.375" customWidth="1"/>
  </cols>
  <sheetData>
    <row r="1" spans="1:14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14" ht="20.25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16" customFormat="1" ht="21" customHeight="1" x14ac:dyDescent="0.2">
      <c r="A4" s="11" t="s">
        <v>13</v>
      </c>
      <c r="B4" s="12">
        <v>41640</v>
      </c>
      <c r="C4" s="13">
        <v>41671</v>
      </c>
      <c r="D4" s="13">
        <v>41699</v>
      </c>
      <c r="E4" s="13">
        <v>41730</v>
      </c>
      <c r="F4" s="13">
        <v>41760</v>
      </c>
      <c r="G4" s="13">
        <v>41791</v>
      </c>
      <c r="H4" s="13">
        <v>41821</v>
      </c>
      <c r="I4" s="14">
        <v>41852</v>
      </c>
      <c r="J4" s="14">
        <v>41883</v>
      </c>
      <c r="K4" s="14">
        <v>41913</v>
      </c>
      <c r="L4" s="13">
        <v>41944</v>
      </c>
      <c r="M4" s="13">
        <v>41974</v>
      </c>
      <c r="N4" s="15" t="s">
        <v>47</v>
      </c>
    </row>
    <row r="5" spans="1:14" s="21" customFormat="1" ht="21" customHeight="1" x14ac:dyDescent="0.2">
      <c r="A5" s="17" t="s">
        <v>0</v>
      </c>
      <c r="B5" s="18">
        <v>30.646999999999998</v>
      </c>
      <c r="C5" s="19">
        <v>26.594000000000001</v>
      </c>
      <c r="D5" s="19">
        <v>28.388999999999999</v>
      </c>
      <c r="E5" s="19">
        <v>31.491</v>
      </c>
      <c r="F5" s="19">
        <v>31.699000000000002</v>
      </c>
      <c r="G5" s="19">
        <v>28.474</v>
      </c>
      <c r="H5" s="19">
        <v>28.013000000000002</v>
      </c>
      <c r="I5" s="19">
        <v>29.239000000000001</v>
      </c>
      <c r="J5" s="19">
        <v>15.081</v>
      </c>
      <c r="K5" s="19">
        <v>24.795999999999999</v>
      </c>
      <c r="L5" s="19">
        <v>17.120999999999999</v>
      </c>
      <c r="M5" s="19">
        <v>13.867000000000001</v>
      </c>
      <c r="N5" s="20">
        <f t="shared" ref="N5:N49" si="0">SUM(B5:M5)</f>
        <v>305.411</v>
      </c>
    </row>
    <row r="6" spans="1:14" s="21" customFormat="1" ht="21" customHeight="1" x14ac:dyDescent="0.2">
      <c r="A6" s="22" t="s">
        <v>1</v>
      </c>
      <c r="B6" s="23">
        <v>5020</v>
      </c>
      <c r="C6" s="24">
        <v>4227</v>
      </c>
      <c r="D6" s="24">
        <v>4727</v>
      </c>
      <c r="E6" s="24">
        <v>4811</v>
      </c>
      <c r="F6" s="24">
        <v>5525</v>
      </c>
      <c r="G6" s="24">
        <v>4754</v>
      </c>
      <c r="H6" s="24">
        <v>4761</v>
      </c>
      <c r="I6" s="24">
        <v>5037</v>
      </c>
      <c r="J6" s="24">
        <v>4954</v>
      </c>
      <c r="K6" s="24">
        <v>5305</v>
      </c>
      <c r="L6" s="24">
        <v>4490</v>
      </c>
      <c r="M6" s="24">
        <v>5443</v>
      </c>
      <c r="N6" s="25">
        <f t="shared" si="0"/>
        <v>59054</v>
      </c>
    </row>
    <row r="7" spans="1:14" s="21" customFormat="1" ht="21" customHeight="1" x14ac:dyDescent="0.2">
      <c r="A7" s="26" t="s">
        <v>2</v>
      </c>
      <c r="B7" s="27">
        <v>107</v>
      </c>
      <c r="C7" s="28">
        <v>327</v>
      </c>
      <c r="D7" s="28">
        <v>351</v>
      </c>
      <c r="E7" s="28">
        <v>152</v>
      </c>
      <c r="F7" s="28">
        <v>37</v>
      </c>
      <c r="G7" s="28">
        <v>122</v>
      </c>
      <c r="H7" s="28">
        <v>173</v>
      </c>
      <c r="I7" s="28">
        <v>187</v>
      </c>
      <c r="J7" s="28">
        <v>69</v>
      </c>
      <c r="K7" s="28">
        <v>193</v>
      </c>
      <c r="L7" s="28">
        <v>1</v>
      </c>
      <c r="M7" s="28">
        <v>-86</v>
      </c>
      <c r="N7" s="29">
        <f t="shared" si="0"/>
        <v>1633</v>
      </c>
    </row>
    <row r="8" spans="1:14" s="21" customFormat="1" ht="21" customHeight="1" x14ac:dyDescent="0.2">
      <c r="A8" s="26" t="s">
        <v>3</v>
      </c>
      <c r="B8" s="27">
        <v>521</v>
      </c>
      <c r="C8" s="28">
        <v>-100</v>
      </c>
      <c r="D8" s="28">
        <v>-129</v>
      </c>
      <c r="E8" s="28">
        <v>187</v>
      </c>
      <c r="F8" s="28">
        <v>227</v>
      </c>
      <c r="G8" s="28">
        <v>-266</v>
      </c>
      <c r="H8" s="28">
        <v>-186</v>
      </c>
      <c r="I8" s="28">
        <v>-67</v>
      </c>
      <c r="J8" s="28">
        <v>164</v>
      </c>
      <c r="K8" s="28">
        <v>242</v>
      </c>
      <c r="L8" s="28">
        <v>-399</v>
      </c>
      <c r="M8" s="28">
        <v>136</v>
      </c>
      <c r="N8" s="29">
        <f t="shared" si="0"/>
        <v>330</v>
      </c>
    </row>
    <row r="9" spans="1:14" s="21" customFormat="1" ht="21" customHeight="1" x14ac:dyDescent="0.2">
      <c r="A9" s="26" t="s">
        <v>4</v>
      </c>
      <c r="B9" s="27">
        <v>-7</v>
      </c>
      <c r="C9" s="28">
        <v>-129</v>
      </c>
      <c r="D9" s="28">
        <v>190</v>
      </c>
      <c r="E9" s="28">
        <v>-145</v>
      </c>
      <c r="F9" s="28">
        <v>82</v>
      </c>
      <c r="G9" s="28">
        <v>-60</v>
      </c>
      <c r="H9" s="28">
        <v>-52</v>
      </c>
      <c r="I9" s="28">
        <v>198</v>
      </c>
      <c r="J9" s="28">
        <v>-5</v>
      </c>
      <c r="K9" s="28">
        <v>205</v>
      </c>
      <c r="L9" s="28">
        <v>-150</v>
      </c>
      <c r="M9" s="28">
        <v>-128</v>
      </c>
      <c r="N9" s="29">
        <f t="shared" si="0"/>
        <v>-1</v>
      </c>
    </row>
    <row r="10" spans="1:14" s="21" customFormat="1" ht="21" customHeight="1" x14ac:dyDescent="0.2">
      <c r="A10" s="26" t="s">
        <v>5</v>
      </c>
      <c r="B10" s="27">
        <v>34</v>
      </c>
      <c r="C10" s="28">
        <v>22</v>
      </c>
      <c r="D10" s="28">
        <v>74</v>
      </c>
      <c r="E10" s="28">
        <v>21</v>
      </c>
      <c r="F10" s="28">
        <v>56</v>
      </c>
      <c r="G10" s="28">
        <v>38</v>
      </c>
      <c r="H10" s="28">
        <v>71</v>
      </c>
      <c r="I10" s="28">
        <v>84</v>
      </c>
      <c r="J10" s="28">
        <v>42</v>
      </c>
      <c r="K10" s="28">
        <v>17</v>
      </c>
      <c r="L10" s="28">
        <v>16</v>
      </c>
      <c r="M10" s="28">
        <v>38</v>
      </c>
      <c r="N10" s="29">
        <f t="shared" si="0"/>
        <v>513</v>
      </c>
    </row>
    <row r="11" spans="1:14" s="21" customFormat="1" ht="21" customHeight="1" x14ac:dyDescent="0.2">
      <c r="A11" s="26" t="s">
        <v>6</v>
      </c>
      <c r="B11" s="27">
        <v>1</v>
      </c>
      <c r="C11" s="28">
        <v>1</v>
      </c>
      <c r="D11" s="28">
        <v>1</v>
      </c>
      <c r="E11" s="28">
        <v>1</v>
      </c>
      <c r="F11" s="28">
        <v>1</v>
      </c>
      <c r="G11" s="28">
        <v>1</v>
      </c>
      <c r="H11" s="28">
        <v>1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7</v>
      </c>
    </row>
    <row r="12" spans="1:14" s="31" customFormat="1" ht="21" customHeight="1" x14ac:dyDescent="0.2">
      <c r="A12" s="22" t="s">
        <v>7</v>
      </c>
      <c r="B12" s="24">
        <v>4676.6469999999999</v>
      </c>
      <c r="C12" s="24">
        <v>4830.5940000000001</v>
      </c>
      <c r="D12" s="24">
        <v>5118.3890000000001</v>
      </c>
      <c r="E12" s="24">
        <v>4972.491</v>
      </c>
      <c r="F12" s="24">
        <v>5339.6989999999996</v>
      </c>
      <c r="G12" s="24">
        <v>5267.4740000000002</v>
      </c>
      <c r="H12" s="24">
        <v>5270.0129999999999</v>
      </c>
      <c r="I12" s="24">
        <v>5206.2389999999996</v>
      </c>
      <c r="J12" s="24">
        <v>4921.0810000000001</v>
      </c>
      <c r="K12" s="24">
        <v>5092.7960000000003</v>
      </c>
      <c r="L12" s="24">
        <v>5073.1210000000001</v>
      </c>
      <c r="M12" s="24">
        <v>5400.8670000000002</v>
      </c>
      <c r="N12" s="25">
        <f t="shared" si="0"/>
        <v>61169.411</v>
      </c>
    </row>
    <row r="13" spans="1:14" s="21" customFormat="1" ht="21" customHeight="1" x14ac:dyDescent="0.2">
      <c r="A13" s="26" t="s">
        <v>12</v>
      </c>
      <c r="B13" s="27">
        <v>4529</v>
      </c>
      <c r="C13" s="28">
        <v>4353</v>
      </c>
      <c r="D13" s="28">
        <v>4883</v>
      </c>
      <c r="E13" s="28">
        <v>4654</v>
      </c>
      <c r="F13" s="28">
        <v>5329</v>
      </c>
      <c r="G13" s="28">
        <v>5047</v>
      </c>
      <c r="H13" s="28">
        <v>4974</v>
      </c>
      <c r="I13" s="28">
        <v>5133</v>
      </c>
      <c r="J13" s="28">
        <v>4805</v>
      </c>
      <c r="K13" s="28">
        <v>5088</v>
      </c>
      <c r="L13" s="28">
        <v>4906</v>
      </c>
      <c r="M13" s="28">
        <v>5321</v>
      </c>
      <c r="N13" s="29">
        <f t="shared" si="0"/>
        <v>59022</v>
      </c>
    </row>
    <row r="14" spans="1:14" s="21" customFormat="1" ht="21" customHeight="1" x14ac:dyDescent="0.2">
      <c r="A14" s="26" t="s">
        <v>8</v>
      </c>
      <c r="B14" s="27">
        <v>38.646999999999935</v>
      </c>
      <c r="C14" s="28">
        <v>41.020000000000437</v>
      </c>
      <c r="D14" s="28">
        <v>44.389000000000124</v>
      </c>
      <c r="E14" s="28">
        <v>47.80199999999968</v>
      </c>
      <c r="F14" s="28">
        <v>47.698999999999614</v>
      </c>
      <c r="G14" s="28">
        <v>35.47400000000016</v>
      </c>
      <c r="H14" s="28">
        <v>45.01299999999992</v>
      </c>
      <c r="I14" s="28">
        <v>48.964999999999236</v>
      </c>
      <c r="J14" s="28">
        <v>50.081000000000131</v>
      </c>
      <c r="K14" s="28">
        <v>92.890000000000327</v>
      </c>
      <c r="L14" s="28">
        <v>50.96100000000024</v>
      </c>
      <c r="M14" s="28">
        <v>63.867000000000189</v>
      </c>
      <c r="N14" s="29">
        <f t="shared" si="0"/>
        <v>606.80799999999999</v>
      </c>
    </row>
    <row r="15" spans="1:14" s="21" customFormat="1" ht="21" customHeight="1" x14ac:dyDescent="0.2">
      <c r="A15" s="22" t="s">
        <v>9</v>
      </c>
      <c r="B15" s="23">
        <v>4638</v>
      </c>
      <c r="C15" s="24">
        <v>4789.5740000000005</v>
      </c>
      <c r="D15" s="24">
        <v>5074</v>
      </c>
      <c r="E15" s="24">
        <v>4924.6890000000003</v>
      </c>
      <c r="F15" s="24">
        <v>5292</v>
      </c>
      <c r="G15" s="24">
        <v>5232</v>
      </c>
      <c r="H15" s="24">
        <v>5225</v>
      </c>
      <c r="I15" s="24">
        <v>5157.2740000000003</v>
      </c>
      <c r="J15" s="24">
        <v>4871</v>
      </c>
      <c r="K15" s="24">
        <v>4999.9059999999981</v>
      </c>
      <c r="L15" s="24">
        <v>5022.1599999999989</v>
      </c>
      <c r="M15" s="24">
        <v>5337</v>
      </c>
      <c r="N15" s="25">
        <f t="shared" si="0"/>
        <v>60562.602999999988</v>
      </c>
    </row>
    <row r="16" spans="1:14" ht="15" x14ac:dyDescent="0.2">
      <c r="A16" s="9" t="s">
        <v>14</v>
      </c>
      <c r="B16" s="3">
        <v>139.39699999999999</v>
      </c>
      <c r="C16" s="2">
        <v>151.72800000000001</v>
      </c>
      <c r="D16" s="2">
        <v>166.65</v>
      </c>
      <c r="E16" s="2">
        <v>166.68</v>
      </c>
      <c r="F16" s="2">
        <v>171.45699999999999</v>
      </c>
      <c r="G16" s="2">
        <v>159.01</v>
      </c>
      <c r="H16" s="2">
        <v>164.01599999999999</v>
      </c>
      <c r="I16" s="2">
        <v>169.345</v>
      </c>
      <c r="J16" s="2">
        <v>173.30600000000001</v>
      </c>
      <c r="K16" s="2">
        <v>170.77799999999999</v>
      </c>
      <c r="L16" s="2">
        <v>151.232</v>
      </c>
      <c r="M16" s="2">
        <v>171.76900000000001</v>
      </c>
      <c r="N16" s="4">
        <f t="shared" si="0"/>
        <v>1955.3679999999999</v>
      </c>
    </row>
    <row r="17" spans="1:14" ht="15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</row>
    <row r="18" spans="1:14" ht="15" x14ac:dyDescent="0.2">
      <c r="A18" s="9" t="s">
        <v>16</v>
      </c>
      <c r="B18" s="3">
        <v>101.821</v>
      </c>
      <c r="C18" s="2">
        <v>87.716999999999999</v>
      </c>
      <c r="D18" s="2">
        <v>104.907</v>
      </c>
      <c r="E18" s="2">
        <v>96.596000000000004</v>
      </c>
      <c r="F18" s="2">
        <v>93.08</v>
      </c>
      <c r="G18" s="2">
        <v>84.44</v>
      </c>
      <c r="H18" s="2">
        <v>88.43</v>
      </c>
      <c r="I18" s="2">
        <v>88.064999999999998</v>
      </c>
      <c r="J18" s="2">
        <v>88.352000000000004</v>
      </c>
      <c r="K18" s="2">
        <v>87.376999999999995</v>
      </c>
      <c r="L18" s="2">
        <v>90.349000000000004</v>
      </c>
      <c r="M18" s="2">
        <v>101.449</v>
      </c>
      <c r="N18" s="4">
        <f t="shared" si="0"/>
        <v>1112.5830000000001</v>
      </c>
    </row>
    <row r="19" spans="1:14" ht="15" x14ac:dyDescent="0.2">
      <c r="A19" s="9" t="s">
        <v>17</v>
      </c>
      <c r="B19" s="3">
        <v>43.59</v>
      </c>
      <c r="C19" s="2">
        <v>41.212000000000003</v>
      </c>
      <c r="D19" s="2">
        <v>42.311999999999998</v>
      </c>
      <c r="E19" s="2">
        <v>39.435000000000002</v>
      </c>
      <c r="F19" s="2">
        <v>42.087000000000003</v>
      </c>
      <c r="G19" s="2">
        <v>38.671999999999997</v>
      </c>
      <c r="H19" s="2">
        <v>37.533999999999999</v>
      </c>
      <c r="I19" s="2">
        <v>27.834</v>
      </c>
      <c r="J19" s="2">
        <v>28.033999999999999</v>
      </c>
      <c r="K19" s="2">
        <v>24.387</v>
      </c>
      <c r="L19" s="2">
        <v>45.002000000000002</v>
      </c>
      <c r="M19" s="2">
        <v>52.156999999999996</v>
      </c>
      <c r="N19" s="4">
        <f t="shared" si="0"/>
        <v>462.25600000000003</v>
      </c>
    </row>
    <row r="20" spans="1:14" ht="15" x14ac:dyDescent="0.2">
      <c r="A20" s="9" t="s">
        <v>18</v>
      </c>
      <c r="B20" s="3">
        <v>29.161999999999999</v>
      </c>
      <c r="C20" s="2">
        <v>23.803000000000001</v>
      </c>
      <c r="D20" s="2">
        <v>18.611000000000001</v>
      </c>
      <c r="E20" s="2">
        <v>28.738</v>
      </c>
      <c r="F20" s="2">
        <v>29.251999999999999</v>
      </c>
      <c r="G20" s="2">
        <v>33.094000000000001</v>
      </c>
      <c r="H20" s="2">
        <v>26.048999999999999</v>
      </c>
      <c r="I20" s="2">
        <v>22.196000000000002</v>
      </c>
      <c r="J20" s="2">
        <v>10.683</v>
      </c>
      <c r="K20" s="2">
        <v>27.954999999999998</v>
      </c>
      <c r="L20" s="2">
        <v>29.69</v>
      </c>
      <c r="M20" s="2">
        <v>24.274000000000001</v>
      </c>
      <c r="N20" s="4">
        <f t="shared" si="0"/>
        <v>303.50700000000001</v>
      </c>
    </row>
    <row r="21" spans="1:14" ht="15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14" ht="15" x14ac:dyDescent="0.2">
      <c r="A22" s="9" t="s">
        <v>20</v>
      </c>
      <c r="B22" s="3">
        <v>111.893</v>
      </c>
      <c r="C22" s="2">
        <v>100.711</v>
      </c>
      <c r="D22" s="2">
        <v>112.137</v>
      </c>
      <c r="E22" s="2">
        <v>112.399</v>
      </c>
      <c r="F22" s="2">
        <v>106.50700000000001</v>
      </c>
      <c r="G22" s="2">
        <v>112.523</v>
      </c>
      <c r="H22" s="2">
        <v>99.808999999999997</v>
      </c>
      <c r="I22" s="2">
        <v>107.539</v>
      </c>
      <c r="J22" s="2">
        <v>109.626</v>
      </c>
      <c r="K22" s="2">
        <v>107.846</v>
      </c>
      <c r="L22" s="2">
        <v>112.627</v>
      </c>
      <c r="M22" s="2">
        <v>115.69799999999999</v>
      </c>
      <c r="N22" s="4">
        <f t="shared" si="0"/>
        <v>1309.3149999999998</v>
      </c>
    </row>
    <row r="23" spans="1:14" ht="15" x14ac:dyDescent="0.2">
      <c r="A23" s="9" t="s">
        <v>21</v>
      </c>
      <c r="B23" s="3">
        <v>2.794</v>
      </c>
      <c r="C23" s="2">
        <v>2.202</v>
      </c>
      <c r="D23" s="2">
        <v>3.2469999999999999</v>
      </c>
      <c r="E23" s="2">
        <v>9.6080000000000005</v>
      </c>
      <c r="F23" s="2">
        <v>6.9260000000000002</v>
      </c>
      <c r="G23" s="2">
        <v>0.90300000000000002</v>
      </c>
      <c r="H23" s="2">
        <v>19.771999999999998</v>
      </c>
      <c r="I23" s="2">
        <v>8.4670000000000005</v>
      </c>
      <c r="J23" s="2">
        <v>6.5810000000000004</v>
      </c>
      <c r="K23" s="2">
        <v>5.8659999999999997</v>
      </c>
      <c r="L23" s="2">
        <v>4.9160000000000004</v>
      </c>
      <c r="M23" s="2">
        <v>4.085</v>
      </c>
      <c r="N23" s="4">
        <f t="shared" si="0"/>
        <v>75.36699999999999</v>
      </c>
    </row>
    <row r="24" spans="1:14" ht="15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14" ht="15" x14ac:dyDescent="0.2">
      <c r="A25" s="9" t="s">
        <v>23</v>
      </c>
      <c r="B25" s="3">
        <v>429.86599999999999</v>
      </c>
      <c r="C25" s="2">
        <v>456.50799999999992</v>
      </c>
      <c r="D25" s="2">
        <v>435.68399999999997</v>
      </c>
      <c r="E25" s="2">
        <v>476.79</v>
      </c>
      <c r="F25" s="2">
        <v>507.59400000000005</v>
      </c>
      <c r="G25" s="2">
        <v>512.25</v>
      </c>
      <c r="H25" s="2">
        <v>513.89099999999996</v>
      </c>
      <c r="I25" s="2">
        <v>511.30799999999999</v>
      </c>
      <c r="J25" s="2">
        <v>465.52900000000011</v>
      </c>
      <c r="K25" s="2">
        <v>476.947</v>
      </c>
      <c r="L25" s="2">
        <v>512.154</v>
      </c>
      <c r="M25" s="2">
        <v>591.64099999999996</v>
      </c>
      <c r="N25" s="4">
        <f t="shared" si="0"/>
        <v>5890.1620000000003</v>
      </c>
    </row>
    <row r="26" spans="1:14" ht="15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14" ht="15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14" ht="15" x14ac:dyDescent="0.2">
      <c r="A28" s="9" t="s">
        <v>26</v>
      </c>
      <c r="B28" s="3">
        <v>11.106</v>
      </c>
      <c r="C28" s="2">
        <v>6.9960000000000004</v>
      </c>
      <c r="D28" s="2">
        <v>14.375999999999999</v>
      </c>
      <c r="E28" s="2">
        <v>16.857000000000003</v>
      </c>
      <c r="F28" s="2">
        <v>15.452999999999999</v>
      </c>
      <c r="G28" s="2">
        <v>13</v>
      </c>
      <c r="H28" s="2">
        <v>25.605</v>
      </c>
      <c r="I28" s="2">
        <v>20.512</v>
      </c>
      <c r="J28" s="2">
        <v>21.414000000000001</v>
      </c>
      <c r="K28" s="2">
        <v>16.02</v>
      </c>
      <c r="L28" s="2">
        <v>15.387</v>
      </c>
      <c r="M28" s="2">
        <v>20.483000000000001</v>
      </c>
      <c r="N28" s="4">
        <f t="shared" si="0"/>
        <v>197.20900000000003</v>
      </c>
    </row>
    <row r="29" spans="1:14" ht="15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4.0000000000000001E-3</v>
      </c>
      <c r="G29" s="2">
        <v>0</v>
      </c>
      <c r="H29" s="2">
        <v>6.0000000000000001E-3</v>
      </c>
      <c r="I29" s="2">
        <v>8.0000000000000002E-3</v>
      </c>
      <c r="J29" s="2">
        <v>0</v>
      </c>
      <c r="K29" s="2">
        <v>0</v>
      </c>
      <c r="L29" s="2">
        <v>1.2E-2</v>
      </c>
      <c r="M29" s="2">
        <v>0</v>
      </c>
      <c r="N29" s="4">
        <f t="shared" si="0"/>
        <v>3.0000000000000002E-2</v>
      </c>
    </row>
    <row r="30" spans="1:14" ht="15" x14ac:dyDescent="0.2">
      <c r="A30" s="9" t="s">
        <v>28</v>
      </c>
      <c r="B30" s="3">
        <v>642.37599999999998</v>
      </c>
      <c r="C30" s="2">
        <v>637.75099999999998</v>
      </c>
      <c r="D30" s="2">
        <v>702.82799999999997</v>
      </c>
      <c r="E30" s="2">
        <v>665.58199999999999</v>
      </c>
      <c r="F30" s="2">
        <v>743.452</v>
      </c>
      <c r="G30" s="2">
        <v>797.46299999999997</v>
      </c>
      <c r="H30" s="2">
        <v>779.22</v>
      </c>
      <c r="I30" s="2">
        <v>773.827</v>
      </c>
      <c r="J30" s="2">
        <v>741.33500000000004</v>
      </c>
      <c r="K30" s="2">
        <v>708.06700000000001</v>
      </c>
      <c r="L30" s="2">
        <v>721.62800000000004</v>
      </c>
      <c r="M30" s="2">
        <v>765.31</v>
      </c>
      <c r="N30" s="4">
        <f t="shared" si="0"/>
        <v>8678.8389999999999</v>
      </c>
    </row>
    <row r="31" spans="1:14" ht="15" x14ac:dyDescent="0.2">
      <c r="A31" s="9" t="s">
        <v>29</v>
      </c>
      <c r="B31" s="3">
        <v>0</v>
      </c>
      <c r="C31" s="2">
        <v>0</v>
      </c>
      <c r="D31" s="2">
        <v>5.0000000000000001E-3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5.0000000000000001E-3</v>
      </c>
    </row>
    <row r="32" spans="1:14" ht="15" x14ac:dyDescent="0.2">
      <c r="A32" s="9" t="s">
        <v>30</v>
      </c>
      <c r="B32" s="3">
        <v>185.249</v>
      </c>
      <c r="C32" s="2">
        <v>148.45400000000001</v>
      </c>
      <c r="D32" s="2">
        <v>214.59700000000001</v>
      </c>
      <c r="E32" s="2">
        <v>165.572</v>
      </c>
      <c r="F32" s="2">
        <v>187.90299999999999</v>
      </c>
      <c r="G32" s="2">
        <v>187.14400000000001</v>
      </c>
      <c r="H32" s="2">
        <v>207.965</v>
      </c>
      <c r="I32" s="2">
        <v>211.32400000000001</v>
      </c>
      <c r="J32" s="2">
        <v>186.47200000000004</v>
      </c>
      <c r="K32" s="2">
        <v>184.31100000000001</v>
      </c>
      <c r="L32" s="2">
        <v>146.46899999999999</v>
      </c>
      <c r="M32" s="2">
        <v>182.73500000000001</v>
      </c>
      <c r="N32" s="4">
        <f t="shared" si="0"/>
        <v>2208.1949999999997</v>
      </c>
    </row>
    <row r="33" spans="1:14" ht="15" x14ac:dyDescent="0.2">
      <c r="A33" s="9" t="s">
        <v>31</v>
      </c>
      <c r="B33" s="3">
        <v>35.274000000000001</v>
      </c>
      <c r="C33" s="2">
        <v>44.167000000000002</v>
      </c>
      <c r="D33" s="2">
        <v>18.675000000000001</v>
      </c>
      <c r="E33" s="2">
        <v>38.255000000000003</v>
      </c>
      <c r="F33" s="2">
        <v>23.498999999999999</v>
      </c>
      <c r="G33" s="2">
        <v>23.742000000000001</v>
      </c>
      <c r="H33" s="2">
        <v>9.2650000000000006</v>
      </c>
      <c r="I33" s="2">
        <v>15.759</v>
      </c>
      <c r="J33" s="2">
        <v>27.565999999999999</v>
      </c>
      <c r="K33" s="2">
        <v>34.173999999999999</v>
      </c>
      <c r="L33" s="2">
        <v>30.463000000000001</v>
      </c>
      <c r="M33" s="2">
        <v>28.965</v>
      </c>
      <c r="N33" s="4">
        <f t="shared" si="0"/>
        <v>329.80400000000003</v>
      </c>
    </row>
    <row r="34" spans="1:14" ht="15" x14ac:dyDescent="0.2">
      <c r="A34" s="9" t="s">
        <v>32</v>
      </c>
      <c r="B34" s="3">
        <v>24.713999999999999</v>
      </c>
      <c r="C34" s="2">
        <v>23.762</v>
      </c>
      <c r="D34" s="2">
        <v>2.476</v>
      </c>
      <c r="E34" s="2">
        <v>32.701999999999998</v>
      </c>
      <c r="F34" s="2">
        <v>19.154</v>
      </c>
      <c r="G34" s="2">
        <v>0.53800000000000003</v>
      </c>
      <c r="H34" s="2">
        <v>23.51</v>
      </c>
      <c r="I34" s="2">
        <v>5.702</v>
      </c>
      <c r="J34" s="2">
        <v>20.501999999999999</v>
      </c>
      <c r="K34" s="2">
        <v>19.594999999999999</v>
      </c>
      <c r="L34" s="2">
        <v>20.158000000000001</v>
      </c>
      <c r="M34" s="2">
        <v>28.978000000000002</v>
      </c>
      <c r="N34" s="4">
        <f t="shared" si="0"/>
        <v>221.791</v>
      </c>
    </row>
    <row r="35" spans="1:14" ht="15" x14ac:dyDescent="0.2">
      <c r="A35" s="9" t="s">
        <v>33</v>
      </c>
      <c r="B35" s="3">
        <v>8.1690000000000005</v>
      </c>
      <c r="C35" s="2">
        <v>15.881</v>
      </c>
      <c r="D35" s="2">
        <v>37.021999999999998</v>
      </c>
      <c r="E35" s="2">
        <v>18.244</v>
      </c>
      <c r="F35" s="2">
        <v>21.99</v>
      </c>
      <c r="G35" s="2">
        <v>46.43</v>
      </c>
      <c r="H35" s="2">
        <v>30.690999999999999</v>
      </c>
      <c r="I35" s="2">
        <v>45.767000000000003</v>
      </c>
      <c r="J35" s="2">
        <v>23.524999999999999</v>
      </c>
      <c r="K35" s="2">
        <v>33.454999999999998</v>
      </c>
      <c r="L35" s="2">
        <v>43.542999999999999</v>
      </c>
      <c r="M35" s="2">
        <v>27.681000000000001</v>
      </c>
      <c r="N35" s="4">
        <f t="shared" si="0"/>
        <v>352.39799999999997</v>
      </c>
    </row>
    <row r="36" spans="1:14" ht="15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4.1000000000000002E-2</v>
      </c>
      <c r="L36" s="2">
        <v>0.127</v>
      </c>
      <c r="M36" s="2">
        <v>3.0000000000000001E-3</v>
      </c>
      <c r="N36" s="4">
        <f t="shared" si="0"/>
        <v>0.17100000000000001</v>
      </c>
    </row>
    <row r="37" spans="1:14" ht="15" x14ac:dyDescent="0.2">
      <c r="A37" s="9" t="s">
        <v>35</v>
      </c>
      <c r="B37" s="3">
        <v>1861.8430000000001</v>
      </c>
      <c r="C37" s="2">
        <v>1890.19</v>
      </c>
      <c r="D37" s="2">
        <v>1993.827</v>
      </c>
      <c r="E37" s="2">
        <v>1984.0129999999999</v>
      </c>
      <c r="F37" s="2">
        <v>2084.2669999999998</v>
      </c>
      <c r="G37" s="2">
        <v>2070.6590000000001</v>
      </c>
      <c r="H37" s="2">
        <v>2073.5500000000002</v>
      </c>
      <c r="I37" s="2">
        <v>2026.4280000000001</v>
      </c>
      <c r="J37" s="2">
        <v>1939.616</v>
      </c>
      <c r="K37" s="2">
        <v>1990.27</v>
      </c>
      <c r="L37" s="2">
        <v>1953.7090000000001</v>
      </c>
      <c r="M37" s="2">
        <v>2129.884</v>
      </c>
      <c r="N37" s="4">
        <f t="shared" si="0"/>
        <v>23998.255999999994</v>
      </c>
    </row>
    <row r="38" spans="1:14" ht="15" x14ac:dyDescent="0.2">
      <c r="A38" s="9" t="s">
        <v>36</v>
      </c>
      <c r="B38" s="3">
        <v>13.750999999999999</v>
      </c>
      <c r="C38" s="2">
        <v>14.545999999999999</v>
      </c>
      <c r="D38" s="2">
        <v>17.398</v>
      </c>
      <c r="E38" s="2">
        <v>35.886000000000003</v>
      </c>
      <c r="F38" s="2">
        <v>19.641999999999999</v>
      </c>
      <c r="G38" s="2">
        <v>15.531000000000001</v>
      </c>
      <c r="H38" s="2">
        <v>19.63</v>
      </c>
      <c r="I38" s="2">
        <v>6.6769999999999996</v>
      </c>
      <c r="J38" s="2">
        <v>14.228999999999999</v>
      </c>
      <c r="K38" s="2">
        <v>53.417999999999999</v>
      </c>
      <c r="L38" s="2">
        <v>33.530999999999999</v>
      </c>
      <c r="M38" s="2">
        <v>29.276</v>
      </c>
      <c r="N38" s="4">
        <f t="shared" si="0"/>
        <v>273.51499999999999</v>
      </c>
    </row>
    <row r="39" spans="1:14" ht="15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5" x14ac:dyDescent="0.2">
      <c r="A40" s="9" t="s">
        <v>38</v>
      </c>
      <c r="B40" s="3">
        <v>0.61499999999999999</v>
      </c>
      <c r="C40" s="2">
        <v>1.3580000000000001</v>
      </c>
      <c r="D40" s="2">
        <v>2.5019999999999998</v>
      </c>
      <c r="E40" s="2">
        <v>2.2069999999999999</v>
      </c>
      <c r="F40" s="2">
        <v>3.532</v>
      </c>
      <c r="G40" s="2">
        <v>2.0779999999999998</v>
      </c>
      <c r="H40" s="2">
        <v>6.9000000000000006E-2</v>
      </c>
      <c r="I40" s="2">
        <v>10.44</v>
      </c>
      <c r="J40" s="2">
        <v>4.6139999999999999</v>
      </c>
      <c r="K40" s="2">
        <v>3.6520000000000001</v>
      </c>
      <c r="L40" s="2">
        <v>11.263999999999999</v>
      </c>
      <c r="M40" s="2">
        <v>1.631</v>
      </c>
      <c r="N40" s="4">
        <f t="shared" si="0"/>
        <v>43.962000000000003</v>
      </c>
    </row>
    <row r="41" spans="1:14" ht="15" x14ac:dyDescent="0.2">
      <c r="A41" s="9" t="s">
        <v>39</v>
      </c>
      <c r="B41" s="3">
        <v>0.20699999999999999</v>
      </c>
      <c r="C41" s="2">
        <v>0.24299999999999999</v>
      </c>
      <c r="D41" s="2">
        <v>1.444</v>
      </c>
      <c r="E41" s="2">
        <v>4.6719999999999997</v>
      </c>
      <c r="F41" s="2">
        <v>7.2750000000000004</v>
      </c>
      <c r="G41" s="2">
        <v>1.3819999999999999</v>
      </c>
      <c r="H41" s="2">
        <v>6.6040000000000001</v>
      </c>
      <c r="I41" s="2">
        <v>3.8559999999999999</v>
      </c>
      <c r="J41" s="2">
        <v>3.0720000000000001</v>
      </c>
      <c r="K41" s="2">
        <v>2.653</v>
      </c>
      <c r="L41" s="2">
        <v>17.888000000000002</v>
      </c>
      <c r="M41" s="2">
        <v>1.1180000000000001</v>
      </c>
      <c r="N41" s="4">
        <f t="shared" si="0"/>
        <v>50.414000000000001</v>
      </c>
    </row>
    <row r="42" spans="1:14" ht="15" x14ac:dyDescent="0.2">
      <c r="A42" s="9" t="s">
        <v>57</v>
      </c>
      <c r="B42" s="3">
        <v>9.4169999999999998</v>
      </c>
      <c r="C42" s="2">
        <v>6.3920000000000003</v>
      </c>
      <c r="D42" s="2">
        <v>6.1369999999999996</v>
      </c>
      <c r="E42" s="2">
        <v>34.942999999999998</v>
      </c>
      <c r="F42" s="2">
        <v>16.042000000000002</v>
      </c>
      <c r="G42" s="2">
        <v>18.145</v>
      </c>
      <c r="H42" s="2">
        <v>10.282999999999999</v>
      </c>
      <c r="I42" s="2">
        <v>0.217</v>
      </c>
      <c r="J42" s="2">
        <v>13.103999999999999</v>
      </c>
      <c r="K42" s="2">
        <v>20.939</v>
      </c>
      <c r="L42" s="2">
        <v>11.528</v>
      </c>
      <c r="M42" s="2">
        <v>9.0690000000000008</v>
      </c>
      <c r="N42" s="4">
        <f t="shared" si="0"/>
        <v>156.21599999999998</v>
      </c>
    </row>
    <row r="43" spans="1:14" ht="15" x14ac:dyDescent="0.2">
      <c r="A43" s="9" t="s">
        <v>40</v>
      </c>
      <c r="B43" s="3">
        <v>355.61599999999999</v>
      </c>
      <c r="C43" s="2">
        <v>455.06900000000002</v>
      </c>
      <c r="D43" s="2">
        <v>374.80399999999997</v>
      </c>
      <c r="E43" s="2">
        <v>308.178</v>
      </c>
      <c r="F43" s="2">
        <v>414.15100000000001</v>
      </c>
      <c r="G43" s="2">
        <v>393.685</v>
      </c>
      <c r="H43" s="2">
        <v>322.822</v>
      </c>
      <c r="I43" s="2">
        <v>331.46100000000001</v>
      </c>
      <c r="J43" s="2">
        <v>274.20999999999998</v>
      </c>
      <c r="K43" s="2">
        <v>310.88799999999992</v>
      </c>
      <c r="L43" s="2">
        <v>376.53</v>
      </c>
      <c r="M43" s="2">
        <v>313.726</v>
      </c>
      <c r="N43" s="4">
        <f t="shared" si="0"/>
        <v>4231.1399999999994</v>
      </c>
    </row>
    <row r="44" spans="1:14" ht="15" x14ac:dyDescent="0.2">
      <c r="A44" s="9" t="s">
        <v>41</v>
      </c>
      <c r="B44" s="3">
        <v>23.838000000000001</v>
      </c>
      <c r="C44" s="2">
        <v>17.811</v>
      </c>
      <c r="D44" s="2">
        <v>28.83</v>
      </c>
      <c r="E44" s="2">
        <v>35.064</v>
      </c>
      <c r="F44" s="2">
        <v>36.880000000000003</v>
      </c>
      <c r="G44" s="2">
        <v>32.417000000000002</v>
      </c>
      <c r="H44" s="2">
        <v>33.932000000000002</v>
      </c>
      <c r="I44" s="2">
        <v>34.826000000000001</v>
      </c>
      <c r="J44" s="2">
        <v>26.77</v>
      </c>
      <c r="K44" s="2">
        <v>28.606999999999999</v>
      </c>
      <c r="L44" s="2">
        <v>15.946</v>
      </c>
      <c r="M44" s="2">
        <v>22.042000000000002</v>
      </c>
      <c r="N44" s="4">
        <f t="shared" si="0"/>
        <v>336.96300000000008</v>
      </c>
    </row>
    <row r="45" spans="1:14" ht="15" x14ac:dyDescent="0.2">
      <c r="A45" s="9" t="s">
        <v>42</v>
      </c>
      <c r="B45" s="3">
        <v>112.15600000000001</v>
      </c>
      <c r="C45" s="2">
        <v>122.559</v>
      </c>
      <c r="D45" s="2">
        <v>150.49299999999999</v>
      </c>
      <c r="E45" s="2">
        <v>152.73599999999999</v>
      </c>
      <c r="F45" s="2">
        <v>150.90600000000001</v>
      </c>
      <c r="G45" s="2">
        <v>199.227</v>
      </c>
      <c r="H45" s="2">
        <v>202.15199999999999</v>
      </c>
      <c r="I45" s="2">
        <v>183.196</v>
      </c>
      <c r="J45" s="2">
        <v>168.203</v>
      </c>
      <c r="K45" s="2">
        <v>175.40199999999999</v>
      </c>
      <c r="L45" s="2">
        <v>143.39500000000001</v>
      </c>
      <c r="M45" s="2">
        <v>156.83000000000001</v>
      </c>
      <c r="N45" s="4">
        <f t="shared" si="0"/>
        <v>1917.2549999999997</v>
      </c>
    </row>
    <row r="46" spans="1:14" ht="15" x14ac:dyDescent="0.2">
      <c r="A46" s="9" t="s">
        <v>43</v>
      </c>
      <c r="B46" s="3">
        <v>22.103999999999999</v>
      </c>
      <c r="C46" s="2">
        <v>14.35</v>
      </c>
      <c r="D46" s="2">
        <v>14.282999999999999</v>
      </c>
      <c r="E46" s="2">
        <v>10.673999999999999</v>
      </c>
      <c r="F46" s="2">
        <v>17.175000000000001</v>
      </c>
      <c r="G46" s="2">
        <v>19.512</v>
      </c>
      <c r="H46" s="2">
        <v>15.455</v>
      </c>
      <c r="I46" s="2">
        <v>17.437000000000001</v>
      </c>
      <c r="J46" s="2">
        <v>10.345000000000001</v>
      </c>
      <c r="K46" s="2">
        <v>20.634</v>
      </c>
      <c r="L46" s="2">
        <v>21.027000000000001</v>
      </c>
      <c r="M46" s="2">
        <v>20.847000000000001</v>
      </c>
      <c r="N46" s="4">
        <f t="shared" si="0"/>
        <v>203.84299999999999</v>
      </c>
    </row>
    <row r="47" spans="1:14" ht="15" x14ac:dyDescent="0.2">
      <c r="A47" s="9" t="s">
        <v>44</v>
      </c>
      <c r="B47" s="3">
        <v>5.6360000000000001</v>
      </c>
      <c r="C47" s="2">
        <v>3.8860000000000001</v>
      </c>
      <c r="D47" s="2">
        <v>3.7719999999999998</v>
      </c>
      <c r="E47" s="2">
        <v>5</v>
      </c>
      <c r="F47" s="2">
        <v>5.6130000000000004</v>
      </c>
      <c r="G47" s="2">
        <v>5.4409999999999998</v>
      </c>
      <c r="H47" s="2">
        <v>5.266</v>
      </c>
      <c r="I47" s="2">
        <v>3.8490000000000002</v>
      </c>
      <c r="J47" s="2">
        <v>5.3789999999999996</v>
      </c>
      <c r="K47" s="2">
        <v>5.726</v>
      </c>
      <c r="L47" s="2">
        <v>2.74</v>
      </c>
      <c r="M47" s="2">
        <v>2.7309999999999999</v>
      </c>
      <c r="N47" s="4">
        <f t="shared" si="0"/>
        <v>55.038999999999994</v>
      </c>
    </row>
    <row r="48" spans="1:14" ht="15" x14ac:dyDescent="0.2">
      <c r="A48" s="9" t="s">
        <v>45</v>
      </c>
      <c r="B48" s="3">
        <v>288.01799999999997</v>
      </c>
      <c r="C48" s="2">
        <v>282.18799999999999</v>
      </c>
      <c r="D48" s="2">
        <v>315.54399999999998</v>
      </c>
      <c r="E48" s="2">
        <v>311.00799999999998</v>
      </c>
      <c r="F48" s="2">
        <v>313.875</v>
      </c>
      <c r="G48" s="2">
        <v>330.36099999999999</v>
      </c>
      <c r="H48" s="2">
        <v>326.74299999999999</v>
      </c>
      <c r="I48" s="2">
        <v>326.48</v>
      </c>
      <c r="J48" s="2">
        <v>309.30500000000001</v>
      </c>
      <c r="K48" s="2">
        <v>313.52100000000002</v>
      </c>
      <c r="L48" s="2">
        <v>312.101</v>
      </c>
      <c r="M48" s="2">
        <v>314.49099999999999</v>
      </c>
      <c r="N48" s="4">
        <f t="shared" si="0"/>
        <v>3743.6349999999998</v>
      </c>
    </row>
    <row r="49" spans="1:14" ht="15" x14ac:dyDescent="0.2">
      <c r="A49" s="10" t="s">
        <v>52</v>
      </c>
      <c r="B49" s="7">
        <v>179.38799999999901</v>
      </c>
      <c r="C49" s="5">
        <v>240.09000000000003</v>
      </c>
      <c r="D49" s="5">
        <v>291.4389999999994</v>
      </c>
      <c r="E49" s="5">
        <v>172.84999999999997</v>
      </c>
      <c r="F49" s="5">
        <v>254.28399999999965</v>
      </c>
      <c r="G49" s="5">
        <v>134.35299999999916</v>
      </c>
      <c r="H49" s="5">
        <v>182.73099999999886</v>
      </c>
      <c r="I49" s="5">
        <v>204.75399999999999</v>
      </c>
      <c r="J49" s="5">
        <v>199.22799999999916</v>
      </c>
      <c r="K49" s="5">
        <v>177.37699999999992</v>
      </c>
      <c r="L49" s="5">
        <v>198.74399999999997</v>
      </c>
      <c r="M49" s="5">
        <v>220.1269999999995</v>
      </c>
      <c r="N49" s="6">
        <f t="shared" si="0"/>
        <v>2455.3649999999948</v>
      </c>
    </row>
    <row r="53" spans="1:14" x14ac:dyDescent="0.2"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</row>
    <row r="54" spans="1:14" x14ac:dyDescent="0.2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</row>
    <row r="55" spans="1:14" x14ac:dyDescent="0.2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</row>
    <row r="56" spans="1:14" x14ac:dyDescent="0.2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pageSetUpPr fitToPage="1"/>
  </sheetPr>
  <dimension ref="A1:P143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16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16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16" s="16" customFormat="1" ht="21" customHeight="1" x14ac:dyDescent="0.2">
      <c r="A4" s="11" t="s">
        <v>13</v>
      </c>
      <c r="B4" s="12">
        <v>42005</v>
      </c>
      <c r="C4" s="13">
        <v>42036</v>
      </c>
      <c r="D4" s="13">
        <v>42064</v>
      </c>
      <c r="E4" s="13">
        <v>42095</v>
      </c>
      <c r="F4" s="13">
        <v>42125</v>
      </c>
      <c r="G4" s="13">
        <v>42156</v>
      </c>
      <c r="H4" s="13">
        <v>42186</v>
      </c>
      <c r="I4" s="14">
        <v>42217</v>
      </c>
      <c r="J4" s="14">
        <v>42248</v>
      </c>
      <c r="K4" s="14">
        <v>42278</v>
      </c>
      <c r="L4" s="13">
        <v>42309</v>
      </c>
      <c r="M4" s="13">
        <v>42339</v>
      </c>
      <c r="N4" s="15" t="s">
        <v>48</v>
      </c>
    </row>
    <row r="5" spans="1:16" s="21" customFormat="1" ht="21" customHeight="1" x14ac:dyDescent="0.2">
      <c r="A5" s="17" t="s">
        <v>0</v>
      </c>
      <c r="B5" s="18">
        <v>18.919</v>
      </c>
      <c r="C5" s="19">
        <v>26.693999999999999</v>
      </c>
      <c r="D5" s="19">
        <v>28.718</v>
      </c>
      <c r="E5" s="19">
        <v>23.831</v>
      </c>
      <c r="F5" s="19">
        <v>23.832999999999998</v>
      </c>
      <c r="G5" s="19">
        <v>20.893999999999998</v>
      </c>
      <c r="H5" s="19">
        <v>18.471</v>
      </c>
      <c r="I5" s="19">
        <v>17.015000000000001</v>
      </c>
      <c r="J5" s="19">
        <v>13.863</v>
      </c>
      <c r="K5" s="19">
        <v>14.46</v>
      </c>
      <c r="L5" s="19">
        <v>12.349</v>
      </c>
      <c r="M5" s="19">
        <v>13.196999999999999</v>
      </c>
      <c r="N5" s="20">
        <f>SUM(B5:M5)</f>
        <v>232.244</v>
      </c>
    </row>
    <row r="6" spans="1:16" s="21" customFormat="1" ht="21" customHeight="1" x14ac:dyDescent="0.2">
      <c r="A6" s="22" t="s">
        <v>1</v>
      </c>
      <c r="B6" s="23">
        <v>4601</v>
      </c>
      <c r="C6" s="24">
        <v>5429</v>
      </c>
      <c r="D6" s="24">
        <v>5694</v>
      </c>
      <c r="E6" s="24">
        <v>5325</v>
      </c>
      <c r="F6" s="24">
        <v>5055</v>
      </c>
      <c r="G6" s="24">
        <v>5266</v>
      </c>
      <c r="H6" s="24">
        <v>5978</v>
      </c>
      <c r="I6" s="24">
        <v>5660</v>
      </c>
      <c r="J6" s="24">
        <v>5745</v>
      </c>
      <c r="K6" s="24">
        <v>5433</v>
      </c>
      <c r="L6" s="24">
        <v>5111</v>
      </c>
      <c r="M6" s="24">
        <v>5429</v>
      </c>
      <c r="N6" s="25">
        <f t="shared" ref="N6:N15" si="0">SUM(B6:M6)</f>
        <v>64726</v>
      </c>
    </row>
    <row r="7" spans="1:16" s="21" customFormat="1" ht="21" customHeight="1" x14ac:dyDescent="0.2">
      <c r="A7" s="26" t="s">
        <v>2</v>
      </c>
      <c r="B7" s="27">
        <v>239</v>
      </c>
      <c r="C7" s="28">
        <v>238</v>
      </c>
      <c r="D7" s="28">
        <v>120</v>
      </c>
      <c r="E7" s="28">
        <v>-149</v>
      </c>
      <c r="F7" s="28">
        <v>68</v>
      </c>
      <c r="G7" s="28">
        <v>32</v>
      </c>
      <c r="H7" s="28">
        <v>-132</v>
      </c>
      <c r="I7" s="28">
        <v>-40</v>
      </c>
      <c r="J7" s="28">
        <v>-76</v>
      </c>
      <c r="K7" s="28">
        <v>13</v>
      </c>
      <c r="L7" s="28">
        <v>-79</v>
      </c>
      <c r="M7" s="28">
        <v>-53</v>
      </c>
      <c r="N7" s="29">
        <f t="shared" si="0"/>
        <v>181</v>
      </c>
    </row>
    <row r="8" spans="1:16" s="21" customFormat="1" ht="21" customHeight="1" x14ac:dyDescent="0.2">
      <c r="A8" s="26" t="s">
        <v>3</v>
      </c>
      <c r="B8" s="27">
        <v>-432</v>
      </c>
      <c r="C8" s="28">
        <v>894</v>
      </c>
      <c r="D8" s="28">
        <v>398</v>
      </c>
      <c r="E8" s="28">
        <v>-244</v>
      </c>
      <c r="F8" s="28">
        <v>-581</v>
      </c>
      <c r="G8" s="28">
        <v>114</v>
      </c>
      <c r="H8" s="28">
        <v>249</v>
      </c>
      <c r="I8" s="28">
        <v>-322</v>
      </c>
      <c r="J8" s="28">
        <v>430</v>
      </c>
      <c r="K8" s="28">
        <v>-333</v>
      </c>
      <c r="L8" s="28">
        <v>27</v>
      </c>
      <c r="M8" s="28">
        <v>-273</v>
      </c>
      <c r="N8" s="29">
        <f t="shared" si="0"/>
        <v>-73</v>
      </c>
    </row>
    <row r="9" spans="1:16" s="21" customFormat="1" ht="21" customHeight="1" x14ac:dyDescent="0.2">
      <c r="A9" s="26" t="s">
        <v>4</v>
      </c>
      <c r="B9" s="27">
        <v>24</v>
      </c>
      <c r="C9" s="28">
        <v>179</v>
      </c>
      <c r="D9" s="28">
        <v>170</v>
      </c>
      <c r="E9" s="28">
        <v>-123</v>
      </c>
      <c r="F9" s="28">
        <v>101</v>
      </c>
      <c r="G9" s="28">
        <v>60</v>
      </c>
      <c r="H9" s="28">
        <v>-112</v>
      </c>
      <c r="I9" s="28">
        <v>-32</v>
      </c>
      <c r="J9" s="28">
        <v>-51</v>
      </c>
      <c r="K9" s="28">
        <v>26</v>
      </c>
      <c r="L9" s="28">
        <v>-239</v>
      </c>
      <c r="M9" s="28">
        <v>-65</v>
      </c>
      <c r="N9" s="29">
        <f t="shared" si="0"/>
        <v>-62</v>
      </c>
    </row>
    <row r="10" spans="1:16" s="21" customFormat="1" ht="21" customHeight="1" x14ac:dyDescent="0.2">
      <c r="A10" s="26" t="s">
        <v>5</v>
      </c>
      <c r="B10" s="27">
        <v>106</v>
      </c>
      <c r="C10" s="28">
        <v>6</v>
      </c>
      <c r="D10" s="28">
        <v>55</v>
      </c>
      <c r="E10" s="28">
        <v>30</v>
      </c>
      <c r="F10" s="28">
        <v>43</v>
      </c>
      <c r="G10" s="28">
        <v>29</v>
      </c>
      <c r="H10" s="28">
        <v>25</v>
      </c>
      <c r="I10" s="28">
        <v>18</v>
      </c>
      <c r="J10" s="28">
        <v>31</v>
      </c>
      <c r="K10" s="28">
        <v>19</v>
      </c>
      <c r="L10" s="28">
        <v>15</v>
      </c>
      <c r="M10" s="28">
        <v>12</v>
      </c>
      <c r="N10" s="29">
        <f t="shared" si="0"/>
        <v>389</v>
      </c>
    </row>
    <row r="11" spans="1:16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</row>
    <row r="12" spans="1:16" s="31" customFormat="1" ht="21" customHeight="1" x14ac:dyDescent="0.2">
      <c r="A12" s="22" t="s">
        <v>7</v>
      </c>
      <c r="B12" s="24">
        <v>5372.9189999999999</v>
      </c>
      <c r="C12" s="24">
        <v>4626.6940000000004</v>
      </c>
      <c r="D12" s="24">
        <v>5329.7179999999998</v>
      </c>
      <c r="E12" s="24">
        <v>5596.8310000000001</v>
      </c>
      <c r="F12" s="24">
        <v>5669.8329999999996</v>
      </c>
      <c r="G12" s="24">
        <v>5173.8940000000002</v>
      </c>
      <c r="H12" s="24">
        <v>5752.4709999999995</v>
      </c>
      <c r="I12" s="24">
        <v>6009.0150000000003</v>
      </c>
      <c r="J12" s="24">
        <v>5334.8630000000003</v>
      </c>
      <c r="K12" s="24">
        <v>5786.46</v>
      </c>
      <c r="L12" s="24">
        <v>5271.3490000000002</v>
      </c>
      <c r="M12" s="24">
        <v>5739.1970000000001</v>
      </c>
      <c r="N12" s="25">
        <f t="shared" si="0"/>
        <v>65663.244000000006</v>
      </c>
    </row>
    <row r="13" spans="1:16" s="21" customFormat="1" ht="21" customHeight="1" x14ac:dyDescent="0.2">
      <c r="A13" s="26" t="s">
        <v>12</v>
      </c>
      <c r="B13" s="27">
        <v>5052</v>
      </c>
      <c r="C13" s="28">
        <v>4562</v>
      </c>
      <c r="D13" s="28">
        <v>5325</v>
      </c>
      <c r="E13" s="28">
        <v>5593</v>
      </c>
      <c r="F13" s="28">
        <v>5660</v>
      </c>
      <c r="G13" s="28">
        <v>5173</v>
      </c>
      <c r="H13" s="28">
        <v>5747</v>
      </c>
      <c r="I13" s="28">
        <v>5999</v>
      </c>
      <c r="J13" s="28">
        <v>5329</v>
      </c>
      <c r="K13" s="28">
        <v>5780</v>
      </c>
      <c r="L13" s="28">
        <v>5096</v>
      </c>
      <c r="M13" s="28">
        <v>5715</v>
      </c>
      <c r="N13" s="29">
        <f t="shared" si="0"/>
        <v>65031</v>
      </c>
    </row>
    <row r="14" spans="1:16" s="21" customFormat="1" ht="21" customHeight="1" x14ac:dyDescent="0.2">
      <c r="A14" s="26" t="s">
        <v>8</v>
      </c>
      <c r="B14" s="27">
        <v>37.918999999999869</v>
      </c>
      <c r="C14" s="28">
        <v>21.694000000000415</v>
      </c>
      <c r="D14" s="28">
        <v>66.160000000000764</v>
      </c>
      <c r="E14" s="28">
        <v>85.630000000001019</v>
      </c>
      <c r="F14" s="28">
        <v>70.42200000000048</v>
      </c>
      <c r="G14" s="28">
        <v>36.894000000000233</v>
      </c>
      <c r="H14" s="28">
        <v>51.470999999999549</v>
      </c>
      <c r="I14" s="28">
        <v>64.015000000000327</v>
      </c>
      <c r="J14" s="28">
        <v>23.028999999999542</v>
      </c>
      <c r="K14" s="28">
        <v>95.460000000000036</v>
      </c>
      <c r="L14" s="28">
        <v>36.34900000000016</v>
      </c>
      <c r="M14" s="28">
        <v>89.109000000000378</v>
      </c>
      <c r="N14" s="29">
        <f t="shared" si="0"/>
        <v>678.15200000000277</v>
      </c>
      <c r="P14" s="37"/>
    </row>
    <row r="15" spans="1:16" s="32" customFormat="1" ht="21" customHeight="1" x14ac:dyDescent="0.2">
      <c r="A15" s="22" t="s">
        <v>9</v>
      </c>
      <c r="B15" s="24">
        <v>5335</v>
      </c>
      <c r="C15" s="24">
        <v>4605</v>
      </c>
      <c r="D15" s="24">
        <v>5261.5579999999991</v>
      </c>
      <c r="E15" s="24">
        <v>5511.4549999999981</v>
      </c>
      <c r="F15" s="24">
        <v>5599</v>
      </c>
      <c r="G15" s="24">
        <v>5137.2930000000006</v>
      </c>
      <c r="H15" s="24">
        <v>5701</v>
      </c>
      <c r="I15" s="24">
        <v>5945</v>
      </c>
      <c r="J15" s="24">
        <v>5311.5290000000014</v>
      </c>
      <c r="K15" s="24">
        <v>5691</v>
      </c>
      <c r="L15" s="24">
        <v>5235.2399999999989</v>
      </c>
      <c r="M15" s="24">
        <v>5650.1210000000001</v>
      </c>
      <c r="N15" s="25">
        <f t="shared" si="0"/>
        <v>64983.195999999996</v>
      </c>
    </row>
    <row r="16" spans="1:16" ht="16.5" customHeight="1" x14ac:dyDescent="0.2">
      <c r="A16" s="9" t="s">
        <v>14</v>
      </c>
      <c r="B16" s="3">
        <v>186.88499999999999</v>
      </c>
      <c r="C16" s="2">
        <v>157.03899999999999</v>
      </c>
      <c r="D16" s="2">
        <v>201</v>
      </c>
      <c r="E16" s="2">
        <v>218</v>
      </c>
      <c r="F16" s="2">
        <v>233</v>
      </c>
      <c r="G16" s="2">
        <v>188</v>
      </c>
      <c r="H16" s="2">
        <v>212</v>
      </c>
      <c r="I16" s="2">
        <v>221</v>
      </c>
      <c r="J16" s="2">
        <v>184.876</v>
      </c>
      <c r="K16" s="2">
        <v>197</v>
      </c>
      <c r="L16" s="2">
        <v>179.91900000000001</v>
      </c>
      <c r="M16" s="2">
        <v>185.26</v>
      </c>
      <c r="N16" s="4">
        <f t="shared" ref="N16:N49" si="1">SUM(B16:M16)</f>
        <v>2363.9790000000003</v>
      </c>
    </row>
    <row r="17" spans="1:14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1"/>
        <v>0</v>
      </c>
    </row>
    <row r="18" spans="1:14" ht="16.5" customHeight="1" x14ac:dyDescent="0.2">
      <c r="A18" s="9" t="s">
        <v>16</v>
      </c>
      <c r="B18" s="3">
        <v>97.186000000000007</v>
      </c>
      <c r="C18" s="2">
        <v>102.22199999999999</v>
      </c>
      <c r="D18" s="2">
        <v>116.7</v>
      </c>
      <c r="E18" s="2">
        <v>107.56699999999999</v>
      </c>
      <c r="F18" s="2">
        <v>95.179000000000002</v>
      </c>
      <c r="G18" s="2">
        <v>101.90600000000001</v>
      </c>
      <c r="H18" s="2">
        <v>88.778999999999996</v>
      </c>
      <c r="I18" s="2">
        <v>99.888000000000005</v>
      </c>
      <c r="J18" s="2">
        <v>84.47</v>
      </c>
      <c r="K18" s="2">
        <v>91.534000000000006</v>
      </c>
      <c r="L18" s="2">
        <v>94.379000000000005</v>
      </c>
      <c r="M18" s="2">
        <v>93.298000000000002</v>
      </c>
      <c r="N18" s="4">
        <f t="shared" si="1"/>
        <v>1173.1079999999999</v>
      </c>
    </row>
    <row r="19" spans="1:14" ht="16.5" customHeight="1" x14ac:dyDescent="0.2">
      <c r="A19" s="9" t="s">
        <v>17</v>
      </c>
      <c r="B19" s="3">
        <v>49.813999999999993</v>
      </c>
      <c r="C19" s="2">
        <v>47.778000000000006</v>
      </c>
      <c r="D19" s="2">
        <v>53.3</v>
      </c>
      <c r="E19" s="2">
        <v>40.433000000000007</v>
      </c>
      <c r="F19" s="2">
        <v>50.820999999999998</v>
      </c>
      <c r="G19" s="2">
        <v>36.093999999999994</v>
      </c>
      <c r="H19" s="2">
        <v>31.221000000000004</v>
      </c>
      <c r="I19" s="2">
        <v>39.111999999999995</v>
      </c>
      <c r="J19" s="2">
        <v>39.53</v>
      </c>
      <c r="K19" s="2">
        <v>40.465999999999994</v>
      </c>
      <c r="L19" s="2">
        <v>40.620999999999995</v>
      </c>
      <c r="M19" s="2">
        <v>56.701999999999998</v>
      </c>
      <c r="N19" s="4">
        <f t="shared" si="1"/>
        <v>525.89199999999994</v>
      </c>
    </row>
    <row r="20" spans="1:14" ht="16.5" customHeight="1" x14ac:dyDescent="0.2">
      <c r="A20" s="9" t="s">
        <v>18</v>
      </c>
      <c r="B20" s="3">
        <v>104</v>
      </c>
      <c r="C20" s="2">
        <v>109</v>
      </c>
      <c r="D20" s="2">
        <v>119</v>
      </c>
      <c r="E20" s="2">
        <v>103</v>
      </c>
      <c r="F20" s="2">
        <v>97</v>
      </c>
      <c r="G20" s="2">
        <v>96</v>
      </c>
      <c r="H20" s="2">
        <v>104</v>
      </c>
      <c r="I20" s="2">
        <v>109</v>
      </c>
      <c r="J20" s="2">
        <v>94</v>
      </c>
      <c r="K20" s="2">
        <v>96</v>
      </c>
      <c r="L20" s="2">
        <v>104</v>
      </c>
      <c r="M20" s="2">
        <v>105</v>
      </c>
      <c r="N20" s="4">
        <f t="shared" si="1"/>
        <v>1240</v>
      </c>
    </row>
    <row r="21" spans="1:14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1"/>
        <v>0</v>
      </c>
    </row>
    <row r="22" spans="1:14" ht="16.5" customHeight="1" x14ac:dyDescent="0.2">
      <c r="A22" s="9" t="s">
        <v>20</v>
      </c>
      <c r="B22" s="3">
        <v>96.704999999999998</v>
      </c>
      <c r="C22" s="2">
        <v>54.359000000000002</v>
      </c>
      <c r="D22" s="2">
        <v>30.41</v>
      </c>
      <c r="E22" s="2">
        <v>92.477000000000004</v>
      </c>
      <c r="F22" s="2">
        <v>97.44</v>
      </c>
      <c r="G22" s="2">
        <v>104.52200000000001</v>
      </c>
      <c r="H22" s="2">
        <v>112.1</v>
      </c>
      <c r="I22" s="2">
        <v>105.789</v>
      </c>
      <c r="J22" s="2">
        <v>102.82599999999999</v>
      </c>
      <c r="K22" s="2">
        <v>95.072999999999993</v>
      </c>
      <c r="L22" s="2">
        <v>99.587000000000003</v>
      </c>
      <c r="M22" s="2">
        <v>102.008</v>
      </c>
      <c r="N22" s="4">
        <f t="shared" si="1"/>
        <v>1093.296</v>
      </c>
    </row>
    <row r="23" spans="1:14" ht="16.5" customHeight="1" x14ac:dyDescent="0.2">
      <c r="A23" s="9" t="s">
        <v>21</v>
      </c>
      <c r="B23" s="3">
        <v>5.8170000000000002</v>
      </c>
      <c r="C23" s="2">
        <v>2.1070000000000002</v>
      </c>
      <c r="D23" s="2">
        <v>0.80700000000000005</v>
      </c>
      <c r="E23" s="2">
        <v>11.375999999999999</v>
      </c>
      <c r="F23" s="2">
        <v>4.1859999999999999</v>
      </c>
      <c r="G23" s="2">
        <v>2.8519999999999999</v>
      </c>
      <c r="H23" s="2">
        <v>0.70199999999999996</v>
      </c>
      <c r="I23" s="2">
        <v>10.709</v>
      </c>
      <c r="J23" s="2">
        <v>0.53400000000000003</v>
      </c>
      <c r="K23" s="2">
        <v>2.5489999999999999</v>
      </c>
      <c r="L23" s="2">
        <v>4.8250000000000002</v>
      </c>
      <c r="M23" s="2">
        <v>3.77</v>
      </c>
      <c r="N23" s="4">
        <f t="shared" si="1"/>
        <v>50.234000000000002</v>
      </c>
    </row>
    <row r="24" spans="1:14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1"/>
        <v>0</v>
      </c>
    </row>
    <row r="25" spans="1:14" ht="16.5" customHeight="1" x14ac:dyDescent="0.2">
      <c r="A25" s="9" t="s">
        <v>23</v>
      </c>
      <c r="B25" s="3">
        <v>686.89700000000016</v>
      </c>
      <c r="C25" s="2">
        <v>579.21799999999996</v>
      </c>
      <c r="D25" s="2">
        <v>623.38300000000004</v>
      </c>
      <c r="E25" s="2">
        <v>643.702</v>
      </c>
      <c r="F25" s="2">
        <v>603.42200000000003</v>
      </c>
      <c r="G25" s="2">
        <v>585.11500000000001</v>
      </c>
      <c r="H25" s="2">
        <v>726.92000000000007</v>
      </c>
      <c r="I25" s="2">
        <v>724.50299999999993</v>
      </c>
      <c r="J25" s="2">
        <v>711.23099999999999</v>
      </c>
      <c r="K25" s="2">
        <v>722.87299999999993</v>
      </c>
      <c r="L25" s="2">
        <v>619.62099999999998</v>
      </c>
      <c r="M25" s="2">
        <v>735.00799999999992</v>
      </c>
      <c r="N25" s="4">
        <f t="shared" si="1"/>
        <v>7961.8929999999991</v>
      </c>
    </row>
    <row r="26" spans="1:14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1"/>
        <v>0</v>
      </c>
    </row>
    <row r="27" spans="1:14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1"/>
        <v>0</v>
      </c>
    </row>
    <row r="28" spans="1:14" ht="16.5" customHeight="1" x14ac:dyDescent="0.2">
      <c r="A28" s="9" t="s">
        <v>26</v>
      </c>
      <c r="B28" s="3">
        <v>19.52</v>
      </c>
      <c r="C28" s="2">
        <v>10.037000000000001</v>
      </c>
      <c r="D28" s="2">
        <v>23.56</v>
      </c>
      <c r="E28" s="2">
        <v>22.831</v>
      </c>
      <c r="F28" s="2">
        <v>19.363</v>
      </c>
      <c r="G28" s="2">
        <v>9.5559999999999992</v>
      </c>
      <c r="H28" s="2">
        <v>20.873000000000001</v>
      </c>
      <c r="I28" s="2">
        <v>8.6720000000000006</v>
      </c>
      <c r="J28" s="2">
        <v>35.662999999999997</v>
      </c>
      <c r="K28" s="2">
        <v>23.259</v>
      </c>
      <c r="L28" s="2">
        <v>19.181000000000001</v>
      </c>
      <c r="M28" s="2">
        <v>13.42</v>
      </c>
      <c r="N28" s="4">
        <f t="shared" si="1"/>
        <v>225.935</v>
      </c>
    </row>
    <row r="29" spans="1:14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1"/>
        <v>0</v>
      </c>
    </row>
    <row r="30" spans="1:14" ht="16.5" customHeight="1" x14ac:dyDescent="0.2">
      <c r="A30" s="9" t="s">
        <v>28</v>
      </c>
      <c r="B30" s="3">
        <v>700.35699999999997</v>
      </c>
      <c r="C30" s="2">
        <v>693.91700000000003</v>
      </c>
      <c r="D30" s="2">
        <v>807.48199999999997</v>
      </c>
      <c r="E30" s="2">
        <v>765.40599999999995</v>
      </c>
      <c r="F30" s="2">
        <v>785</v>
      </c>
      <c r="G30" s="2">
        <v>738</v>
      </c>
      <c r="H30" s="2">
        <v>782.428</v>
      </c>
      <c r="I30" s="2">
        <v>885.99300000000005</v>
      </c>
      <c r="J30" s="2">
        <v>817</v>
      </c>
      <c r="K30" s="2">
        <v>825</v>
      </c>
      <c r="L30" s="2">
        <v>730.75099999999998</v>
      </c>
      <c r="M30" s="2">
        <v>754.048</v>
      </c>
      <c r="N30" s="4">
        <f t="shared" si="1"/>
        <v>9285.3820000000014</v>
      </c>
    </row>
    <row r="31" spans="1:14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1"/>
        <v>0</v>
      </c>
    </row>
    <row r="32" spans="1:14" ht="16.5" customHeight="1" x14ac:dyDescent="0.2">
      <c r="A32" s="9" t="s">
        <v>30</v>
      </c>
      <c r="B32" s="3">
        <v>146.23699999999999</v>
      </c>
      <c r="C32" s="2">
        <v>134.346</v>
      </c>
      <c r="D32" s="2">
        <v>158.14099999999999</v>
      </c>
      <c r="E32" s="2">
        <v>187.661</v>
      </c>
      <c r="F32" s="2">
        <v>181.678</v>
      </c>
      <c r="G32" s="2">
        <v>178.64500000000001</v>
      </c>
      <c r="H32" s="2">
        <v>171.666</v>
      </c>
      <c r="I32" s="2">
        <v>174.226</v>
      </c>
      <c r="J32" s="2">
        <v>113.833</v>
      </c>
      <c r="K32" s="2">
        <v>167.697</v>
      </c>
      <c r="L32" s="2">
        <v>176.881</v>
      </c>
      <c r="M32" s="2">
        <v>192.48500000000001</v>
      </c>
      <c r="N32" s="4">
        <f t="shared" si="1"/>
        <v>1983.4960000000001</v>
      </c>
    </row>
    <row r="33" spans="1:14" ht="16.5" customHeight="1" x14ac:dyDescent="0.2">
      <c r="A33" s="9" t="s">
        <v>31</v>
      </c>
      <c r="B33" s="3">
        <v>39.325000000000003</v>
      </c>
      <c r="C33" s="2">
        <v>21.713000000000001</v>
      </c>
      <c r="D33" s="2">
        <v>29.882000000000001</v>
      </c>
      <c r="E33" s="2">
        <v>5.4550000000000001</v>
      </c>
      <c r="F33" s="2">
        <v>11.266</v>
      </c>
      <c r="G33" s="2">
        <v>23.869</v>
      </c>
      <c r="H33" s="2">
        <v>15.808</v>
      </c>
      <c r="I33" s="2">
        <v>28.006</v>
      </c>
      <c r="J33" s="2">
        <v>11.228</v>
      </c>
      <c r="K33" s="2">
        <v>22.805</v>
      </c>
      <c r="L33" s="2">
        <v>22.248999999999999</v>
      </c>
      <c r="M33" s="2">
        <v>17.713000000000001</v>
      </c>
      <c r="N33" s="4">
        <f t="shared" si="1"/>
        <v>249.31899999999999</v>
      </c>
    </row>
    <row r="34" spans="1:14" ht="16.5" customHeight="1" x14ac:dyDescent="0.2">
      <c r="A34" s="9" t="s">
        <v>32</v>
      </c>
      <c r="B34" s="3">
        <v>7.609</v>
      </c>
      <c r="C34" s="2">
        <v>7.3650000000000002</v>
      </c>
      <c r="D34" s="2">
        <v>13.673999999999999</v>
      </c>
      <c r="E34" s="2">
        <v>0</v>
      </c>
      <c r="F34" s="2">
        <v>37.261000000000003</v>
      </c>
      <c r="G34" s="2">
        <v>0.71299999999999997</v>
      </c>
      <c r="H34" s="2">
        <v>23.945</v>
      </c>
      <c r="I34" s="2">
        <v>0.17399999999999999</v>
      </c>
      <c r="J34" s="2">
        <v>8.9649999999999999</v>
      </c>
      <c r="K34" s="2">
        <v>0.54700000000000004</v>
      </c>
      <c r="L34" s="2">
        <v>7.0570000000000004</v>
      </c>
      <c r="M34" s="2">
        <v>15.359</v>
      </c>
      <c r="N34" s="4">
        <f t="shared" si="1"/>
        <v>122.66900000000001</v>
      </c>
    </row>
    <row r="35" spans="1:14" ht="16.5" customHeight="1" x14ac:dyDescent="0.2">
      <c r="A35" s="9" t="s">
        <v>33</v>
      </c>
      <c r="B35" s="3">
        <v>46.822000000000003</v>
      </c>
      <c r="C35" s="2">
        <v>50.438000000000002</v>
      </c>
      <c r="D35" s="2">
        <v>38.875</v>
      </c>
      <c r="E35" s="2">
        <v>55.491</v>
      </c>
      <c r="F35" s="2">
        <v>19.989999999999998</v>
      </c>
      <c r="G35" s="2">
        <v>80.102000000000004</v>
      </c>
      <c r="H35" s="2">
        <v>38.484999999999999</v>
      </c>
      <c r="I35" s="2">
        <v>72.168000000000006</v>
      </c>
      <c r="J35" s="2">
        <v>54.463000000000001</v>
      </c>
      <c r="K35" s="2">
        <v>71.966999999999999</v>
      </c>
      <c r="L35" s="2">
        <v>59.889000000000003</v>
      </c>
      <c r="M35" s="2">
        <v>45.347000000000001</v>
      </c>
      <c r="N35" s="4">
        <f t="shared" si="1"/>
        <v>634.03700000000003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1"/>
        <v>0</v>
      </c>
    </row>
    <row r="37" spans="1:14" ht="16.5" customHeight="1" x14ac:dyDescent="0.2">
      <c r="A37" s="9" t="s">
        <v>35</v>
      </c>
      <c r="B37" s="3">
        <v>2098.2440000000001</v>
      </c>
      <c r="C37" s="2">
        <v>1766.4839999999999</v>
      </c>
      <c r="D37" s="2">
        <v>1953.569</v>
      </c>
      <c r="E37" s="2">
        <v>2077.1390000000001</v>
      </c>
      <c r="F37" s="2">
        <v>2129.7959999999998</v>
      </c>
      <c r="G37" s="2">
        <v>1906.671</v>
      </c>
      <c r="H37" s="2">
        <v>2141.096</v>
      </c>
      <c r="I37" s="2">
        <v>2189.4259999999999</v>
      </c>
      <c r="J37" s="2">
        <v>1970.3440000000001</v>
      </c>
      <c r="K37" s="2">
        <v>2154.31</v>
      </c>
      <c r="L37" s="2">
        <v>1997.1869999999999</v>
      </c>
      <c r="M37" s="2">
        <v>2093.0630000000001</v>
      </c>
      <c r="N37" s="4">
        <f t="shared" si="1"/>
        <v>24477.329000000005</v>
      </c>
    </row>
    <row r="38" spans="1:14" ht="16.5" customHeight="1" x14ac:dyDescent="0.2">
      <c r="A38" s="9" t="s">
        <v>36</v>
      </c>
      <c r="B38" s="3">
        <v>2.7629999999999999</v>
      </c>
      <c r="C38" s="2">
        <v>1.6539999999999999</v>
      </c>
      <c r="D38" s="2">
        <v>1.859</v>
      </c>
      <c r="E38" s="2">
        <v>2.254</v>
      </c>
      <c r="F38" s="2">
        <v>2.0089999999999999</v>
      </c>
      <c r="G38" s="2">
        <v>0</v>
      </c>
      <c r="H38" s="2">
        <v>0</v>
      </c>
      <c r="I38" s="2">
        <v>0</v>
      </c>
      <c r="J38" s="2">
        <v>0.16700000000000001</v>
      </c>
      <c r="K38" s="2">
        <v>1.6739999999999999</v>
      </c>
      <c r="L38" s="2">
        <v>3.7370000000000001</v>
      </c>
      <c r="M38" s="2">
        <v>3.0329999999999999</v>
      </c>
      <c r="N38" s="4">
        <f t="shared" si="1"/>
        <v>19.149999999999999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1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1"/>
        <v>0</v>
      </c>
    </row>
    <row r="41" spans="1:14" ht="16.5" customHeight="1" x14ac:dyDescent="0.2">
      <c r="A41" s="9" t="s">
        <v>39</v>
      </c>
      <c r="B41" s="3">
        <v>0</v>
      </c>
      <c r="C41" s="2">
        <v>3.653</v>
      </c>
      <c r="D41" s="2">
        <v>5.8390000000000004</v>
      </c>
      <c r="E41" s="2">
        <v>4.3550000000000004</v>
      </c>
      <c r="F41" s="2">
        <v>1.2569999999999999</v>
      </c>
      <c r="G41" s="2">
        <v>0</v>
      </c>
      <c r="H41" s="2">
        <v>9.2449999999999992</v>
      </c>
      <c r="I41" s="2">
        <v>8.6620000000000008</v>
      </c>
      <c r="J41" s="2">
        <v>0.03</v>
      </c>
      <c r="K41" s="2">
        <v>2.8159999999999998</v>
      </c>
      <c r="L41" s="2">
        <v>0.03</v>
      </c>
      <c r="M41" s="2">
        <v>0.19900000000000001</v>
      </c>
      <c r="N41" s="4">
        <f t="shared" si="1"/>
        <v>36.086000000000006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4.4409999999999998</v>
      </c>
      <c r="M42" s="2">
        <v>0</v>
      </c>
      <c r="N42" s="4">
        <f t="shared" si="1"/>
        <v>4.4409999999999998</v>
      </c>
    </row>
    <row r="43" spans="1:14" ht="16.5" customHeight="1" x14ac:dyDescent="0.2">
      <c r="A43" s="9" t="s">
        <v>40</v>
      </c>
      <c r="B43" s="3">
        <v>277.346</v>
      </c>
      <c r="C43" s="2">
        <v>268.38799999999998</v>
      </c>
      <c r="D43" s="2">
        <v>329.24400000000003</v>
      </c>
      <c r="E43" s="2">
        <v>365.64499999999998</v>
      </c>
      <c r="F43" s="2">
        <v>372.74299999999999</v>
      </c>
      <c r="G43" s="2">
        <v>294</v>
      </c>
      <c r="H43" s="2">
        <v>359.755</v>
      </c>
      <c r="I43" s="2">
        <v>346.33800000000002</v>
      </c>
      <c r="J43" s="2">
        <v>248.376</v>
      </c>
      <c r="K43" s="2">
        <v>350.66199999999998</v>
      </c>
      <c r="L43" s="2">
        <v>341.67200000000003</v>
      </c>
      <c r="M43" s="2">
        <v>389.07100000000003</v>
      </c>
      <c r="N43" s="4">
        <f t="shared" si="1"/>
        <v>3943.2400000000002</v>
      </c>
    </row>
    <row r="44" spans="1:14" ht="16.5" customHeight="1" x14ac:dyDescent="0.2">
      <c r="A44" s="9" t="s">
        <v>41</v>
      </c>
      <c r="B44" s="3">
        <v>30.626000000000001</v>
      </c>
      <c r="C44" s="2">
        <v>32.668999999999997</v>
      </c>
      <c r="D44" s="2">
        <v>30.946000000000002</v>
      </c>
      <c r="E44" s="2">
        <v>29.224</v>
      </c>
      <c r="F44" s="2">
        <v>30.315999999999999</v>
      </c>
      <c r="G44" s="2">
        <v>34.256</v>
      </c>
      <c r="H44" s="2">
        <v>31.303999999999998</v>
      </c>
      <c r="I44" s="2">
        <v>34.091000000000001</v>
      </c>
      <c r="J44" s="2">
        <v>30.913</v>
      </c>
      <c r="K44" s="2">
        <v>31.102</v>
      </c>
      <c r="L44" s="2">
        <v>40.463000000000001</v>
      </c>
      <c r="M44" s="2">
        <v>40.180999999999997</v>
      </c>
      <c r="N44" s="4">
        <f t="shared" si="1"/>
        <v>396.09100000000001</v>
      </c>
    </row>
    <row r="45" spans="1:14" ht="16.5" customHeight="1" x14ac:dyDescent="0.2">
      <c r="A45" s="9" t="s">
        <v>42</v>
      </c>
      <c r="B45" s="3">
        <v>153.34899999999999</v>
      </c>
      <c r="C45" s="2">
        <v>125.917</v>
      </c>
      <c r="D45" s="2">
        <v>132.70599999999999</v>
      </c>
      <c r="E45" s="2">
        <v>229.077</v>
      </c>
      <c r="F45" s="2">
        <v>199.56899999999999</v>
      </c>
      <c r="G45" s="2">
        <v>237.053</v>
      </c>
      <c r="H45" s="2">
        <v>253.94800000000001</v>
      </c>
      <c r="I45" s="2">
        <v>242.68600000000001</v>
      </c>
      <c r="J45" s="2">
        <v>250.68899999999999</v>
      </c>
      <c r="K45" s="2">
        <v>243.17</v>
      </c>
      <c r="L45" s="2">
        <v>231.46299999999999</v>
      </c>
      <c r="M45" s="2">
        <v>191.495</v>
      </c>
      <c r="N45" s="4">
        <f t="shared" si="1"/>
        <v>2491.1219999999998</v>
      </c>
    </row>
    <row r="46" spans="1:14" ht="16.5" customHeight="1" x14ac:dyDescent="0.2">
      <c r="A46" s="9" t="s">
        <v>43</v>
      </c>
      <c r="B46" s="3">
        <v>18.111999999999998</v>
      </c>
      <c r="C46" s="2">
        <v>19.619</v>
      </c>
      <c r="D46" s="2">
        <v>19.559999999999999</v>
      </c>
      <c r="E46" s="2">
        <v>19.899999999999999</v>
      </c>
      <c r="F46" s="2">
        <v>19.841999999999999</v>
      </c>
      <c r="G46" s="2">
        <v>15.452999999999999</v>
      </c>
      <c r="H46" s="2">
        <v>20.126999999999999</v>
      </c>
      <c r="I46" s="2">
        <v>22.963999999999999</v>
      </c>
      <c r="J46" s="2">
        <v>19.161000000000001</v>
      </c>
      <c r="K46" s="2">
        <v>25.329000000000001</v>
      </c>
      <c r="L46" s="2">
        <v>24.146999999999998</v>
      </c>
      <c r="M46" s="2">
        <v>33.164999999999999</v>
      </c>
      <c r="N46" s="4">
        <f t="shared" si="1"/>
        <v>257.37900000000002</v>
      </c>
    </row>
    <row r="47" spans="1:14" ht="16.5" customHeight="1" x14ac:dyDescent="0.2">
      <c r="A47" s="9" t="s">
        <v>44</v>
      </c>
      <c r="B47" s="3">
        <v>7.14</v>
      </c>
      <c r="C47" s="2">
        <v>6.3940000000000001</v>
      </c>
      <c r="D47" s="2">
        <v>7.8150000000000004</v>
      </c>
      <c r="E47" s="2">
        <v>7.5369999999999999</v>
      </c>
      <c r="F47" s="2">
        <v>7.19</v>
      </c>
      <c r="G47" s="2">
        <v>7.1109999999999998</v>
      </c>
      <c r="H47" s="2">
        <v>5.6539999999999999</v>
      </c>
      <c r="I47" s="2">
        <v>6.5140000000000002</v>
      </c>
      <c r="J47" s="2">
        <v>7.8239999999999998</v>
      </c>
      <c r="K47" s="2">
        <v>7.601</v>
      </c>
      <c r="L47" s="2">
        <v>7.3239999999999998</v>
      </c>
      <c r="M47" s="2">
        <v>6.165</v>
      </c>
      <c r="N47" s="4">
        <f t="shared" si="1"/>
        <v>84.269000000000005</v>
      </c>
    </row>
    <row r="48" spans="1:14" ht="16.5" customHeight="1" x14ac:dyDescent="0.2">
      <c r="A48" s="9" t="s">
        <v>45</v>
      </c>
      <c r="B48" s="3">
        <v>317.41800000000001</v>
      </c>
      <c r="C48" s="2">
        <v>281.90100000000001</v>
      </c>
      <c r="D48" s="2">
        <v>281.83300000000003</v>
      </c>
      <c r="E48" s="2">
        <v>317.40899999999999</v>
      </c>
      <c r="F48" s="2">
        <v>352</v>
      </c>
      <c r="G48" s="2">
        <v>311.46699999999998</v>
      </c>
      <c r="H48" s="2">
        <v>306.25</v>
      </c>
      <c r="I48" s="2">
        <v>314.50900000000001</v>
      </c>
      <c r="J48" s="2">
        <v>280.06</v>
      </c>
      <c r="K48" s="2">
        <v>308.89499999999998</v>
      </c>
      <c r="L48" s="2">
        <v>274.47899999999998</v>
      </c>
      <c r="M48" s="2">
        <v>313.57600000000002</v>
      </c>
      <c r="N48" s="4">
        <f t="shared" si="1"/>
        <v>3659.797</v>
      </c>
    </row>
    <row r="49" spans="1:14" ht="18" customHeight="1" x14ac:dyDescent="0.2">
      <c r="A49" s="10" t="s">
        <v>52</v>
      </c>
      <c r="B49" s="7">
        <v>242.82799999999952</v>
      </c>
      <c r="C49" s="5">
        <v>128.78200000000015</v>
      </c>
      <c r="D49" s="5">
        <v>283.97300000000001</v>
      </c>
      <c r="E49" s="5">
        <v>205.26200000000006</v>
      </c>
      <c r="F49" s="5">
        <v>249.08300000000003</v>
      </c>
      <c r="G49" s="5">
        <v>185.61499999999978</v>
      </c>
      <c r="H49" s="5">
        <v>244.69399999999769</v>
      </c>
      <c r="I49" s="5">
        <v>300.57000000000062</v>
      </c>
      <c r="J49" s="5">
        <v>245.65100000000007</v>
      </c>
      <c r="K49" s="5">
        <v>208.67100000000028</v>
      </c>
      <c r="L49" s="5">
        <v>151.09700000000248</v>
      </c>
      <c r="M49" s="5">
        <v>260.72200000000004</v>
      </c>
      <c r="N49" s="6">
        <f t="shared" si="1"/>
        <v>2706.9480000000008</v>
      </c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I54"/>
      <c r="J54"/>
      <c r="K5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>
    <pageSetUpPr fitToPage="1"/>
  </sheetPr>
  <dimension ref="A1:AB141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7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7" ht="16.5" customHeight="1" x14ac:dyDescent="0.3">
      <c r="A2" s="8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8"/>
    </row>
    <row r="4" spans="1:27" s="16" customFormat="1" ht="21" customHeight="1" x14ac:dyDescent="0.2">
      <c r="A4" s="11" t="s">
        <v>13</v>
      </c>
      <c r="B4" s="12">
        <v>42370</v>
      </c>
      <c r="C4" s="13">
        <v>42401</v>
      </c>
      <c r="D4" s="13">
        <v>42430</v>
      </c>
      <c r="E4" s="13">
        <v>42461</v>
      </c>
      <c r="F4" s="13">
        <v>42491</v>
      </c>
      <c r="G4" s="13">
        <v>42522</v>
      </c>
      <c r="H4" s="13">
        <v>42552</v>
      </c>
      <c r="I4" s="14">
        <v>42583</v>
      </c>
      <c r="J4" s="14">
        <v>42614</v>
      </c>
      <c r="K4" s="14">
        <v>42644</v>
      </c>
      <c r="L4" s="13">
        <v>42675</v>
      </c>
      <c r="M4" s="13">
        <v>42705</v>
      </c>
      <c r="N4" s="15" t="s">
        <v>49</v>
      </c>
    </row>
    <row r="5" spans="1:27" s="21" customFormat="1" ht="21" customHeight="1" x14ac:dyDescent="0.2">
      <c r="A5" s="17" t="s">
        <v>0</v>
      </c>
      <c r="B5" s="18">
        <v>14.269</v>
      </c>
      <c r="C5" s="19">
        <v>12.829000000000001</v>
      </c>
      <c r="D5" s="19">
        <v>13.781000000000001</v>
      </c>
      <c r="E5" s="19">
        <v>12.667</v>
      </c>
      <c r="F5" s="19">
        <v>11.262</v>
      </c>
      <c r="G5" s="19">
        <v>12.32</v>
      </c>
      <c r="H5" s="19">
        <v>13.37</v>
      </c>
      <c r="I5" s="19">
        <v>11.019</v>
      </c>
      <c r="J5" s="19">
        <v>9.8469999999999995</v>
      </c>
      <c r="K5" s="19">
        <v>10.147</v>
      </c>
      <c r="L5" s="19">
        <v>9.6769999999999996</v>
      </c>
      <c r="M5" s="19">
        <v>9.7070000000000007</v>
      </c>
      <c r="N5" s="20">
        <f>SUM(B5:M5)</f>
        <v>140.89499999999998</v>
      </c>
      <c r="P5" s="34"/>
    </row>
    <row r="6" spans="1:27" s="21" customFormat="1" ht="21" customHeight="1" x14ac:dyDescent="0.2">
      <c r="A6" s="22" t="s">
        <v>1</v>
      </c>
      <c r="B6" s="23">
        <v>5280</v>
      </c>
      <c r="C6" s="24">
        <v>5072</v>
      </c>
      <c r="D6" s="24">
        <v>5789</v>
      </c>
      <c r="E6" s="24">
        <v>5283</v>
      </c>
      <c r="F6" s="24">
        <v>4599</v>
      </c>
      <c r="G6" s="24">
        <v>4628</v>
      </c>
      <c r="H6" s="24">
        <v>5913</v>
      </c>
      <c r="I6" s="24">
        <v>5771</v>
      </c>
      <c r="J6" s="24">
        <v>5127</v>
      </c>
      <c r="K6" s="24">
        <v>5413</v>
      </c>
      <c r="L6" s="24">
        <v>5931</v>
      </c>
      <c r="M6" s="24">
        <v>5365</v>
      </c>
      <c r="N6" s="25">
        <f>SUM(B6:M6)</f>
        <v>64171</v>
      </c>
      <c r="P6" s="34"/>
    </row>
    <row r="7" spans="1:27" s="21" customFormat="1" ht="21" customHeight="1" x14ac:dyDescent="0.2">
      <c r="A7" s="26" t="s">
        <v>2</v>
      </c>
      <c r="B7" s="27">
        <v>52</v>
      </c>
      <c r="C7" s="28">
        <v>186</v>
      </c>
      <c r="D7" s="28">
        <v>-161</v>
      </c>
      <c r="E7" s="28">
        <v>10</v>
      </c>
      <c r="F7" s="28">
        <v>97</v>
      </c>
      <c r="G7" s="28">
        <v>-85</v>
      </c>
      <c r="H7" s="28">
        <v>-118</v>
      </c>
      <c r="I7" s="28">
        <v>-50</v>
      </c>
      <c r="J7" s="28">
        <v>21</v>
      </c>
      <c r="K7" s="28">
        <v>-24</v>
      </c>
      <c r="L7" s="28">
        <v>-135</v>
      </c>
      <c r="M7" s="28">
        <v>-215</v>
      </c>
      <c r="N7" s="29">
        <f t="shared" ref="N7:N49" si="0">SUM(B7:M7)</f>
        <v>-422</v>
      </c>
      <c r="P7" s="34"/>
    </row>
    <row r="8" spans="1:27" s="21" customFormat="1" ht="21" customHeight="1" x14ac:dyDescent="0.2">
      <c r="A8" s="26" t="s">
        <v>3</v>
      </c>
      <c r="B8" s="27">
        <v>86</v>
      </c>
      <c r="C8" s="28">
        <v>58</v>
      </c>
      <c r="D8" s="28">
        <v>386</v>
      </c>
      <c r="E8" s="28">
        <v>160</v>
      </c>
      <c r="F8" s="28">
        <v>-100</v>
      </c>
      <c r="G8" s="28">
        <v>-339</v>
      </c>
      <c r="H8" s="28">
        <v>182</v>
      </c>
      <c r="I8" s="28">
        <v>122</v>
      </c>
      <c r="J8" s="28">
        <v>-243</v>
      </c>
      <c r="K8" s="28">
        <v>-623</v>
      </c>
      <c r="L8" s="28">
        <v>90</v>
      </c>
      <c r="M8" s="28">
        <v>-455</v>
      </c>
      <c r="N8" s="29">
        <f t="shared" si="0"/>
        <v>-676</v>
      </c>
      <c r="P8" s="34"/>
    </row>
    <row r="9" spans="1:27" s="21" customFormat="1" ht="21" customHeight="1" x14ac:dyDescent="0.2">
      <c r="A9" s="26" t="s">
        <v>4</v>
      </c>
      <c r="B9" s="27">
        <v>183</v>
      </c>
      <c r="C9" s="28">
        <v>345</v>
      </c>
      <c r="D9" s="28">
        <v>-255</v>
      </c>
      <c r="E9" s="28">
        <v>7</v>
      </c>
      <c r="F9" s="28">
        <v>-155</v>
      </c>
      <c r="G9" s="28">
        <v>-71</v>
      </c>
      <c r="H9" s="28">
        <v>31</v>
      </c>
      <c r="I9" s="28">
        <v>51</v>
      </c>
      <c r="J9" s="28">
        <v>68</v>
      </c>
      <c r="K9" s="28">
        <v>19</v>
      </c>
      <c r="L9" s="28">
        <v>42</v>
      </c>
      <c r="M9" s="28">
        <v>-72</v>
      </c>
      <c r="N9" s="29">
        <f t="shared" si="0"/>
        <v>193</v>
      </c>
      <c r="P9" s="34"/>
    </row>
    <row r="10" spans="1:27" s="21" customFormat="1" ht="21" customHeight="1" x14ac:dyDescent="0.2">
      <c r="A10" s="26" t="s">
        <v>5</v>
      </c>
      <c r="B10" s="27">
        <v>161</v>
      </c>
      <c r="C10" s="28">
        <v>161</v>
      </c>
      <c r="D10" s="28">
        <v>10</v>
      </c>
      <c r="E10" s="28">
        <v>14</v>
      </c>
      <c r="F10" s="28">
        <v>137</v>
      </c>
      <c r="G10" s="28">
        <v>114</v>
      </c>
      <c r="H10" s="28">
        <v>191</v>
      </c>
      <c r="I10" s="28">
        <v>108</v>
      </c>
      <c r="J10" s="28">
        <v>49</v>
      </c>
      <c r="K10" s="28">
        <v>45</v>
      </c>
      <c r="L10" s="28">
        <v>178</v>
      </c>
      <c r="M10" s="28">
        <v>155</v>
      </c>
      <c r="N10" s="29">
        <f t="shared" si="0"/>
        <v>1323</v>
      </c>
      <c r="P10" s="34"/>
    </row>
    <row r="11" spans="1:27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</row>
    <row r="12" spans="1:27" s="31" customFormat="1" ht="21" customHeight="1" x14ac:dyDescent="0.2">
      <c r="A12" s="22" t="s">
        <v>7</v>
      </c>
      <c r="B12" s="24">
        <v>5238.2690000000002</v>
      </c>
      <c r="C12" s="24">
        <v>5028.8289999999997</v>
      </c>
      <c r="D12" s="24">
        <v>5520.7809999999999</v>
      </c>
      <c r="E12" s="24">
        <v>5152.6670000000004</v>
      </c>
      <c r="F12" s="24">
        <v>5099.2619999999997</v>
      </c>
      <c r="G12" s="24">
        <v>5079.32</v>
      </c>
      <c r="H12" s="24">
        <v>5786.37</v>
      </c>
      <c r="I12" s="24">
        <v>5667.0190000000002</v>
      </c>
      <c r="J12" s="24">
        <v>5381.8469999999998</v>
      </c>
      <c r="K12" s="24">
        <v>6048.1469999999999</v>
      </c>
      <c r="L12" s="24">
        <v>5851.6769999999997</v>
      </c>
      <c r="M12" s="24">
        <v>5841.7070000000003</v>
      </c>
      <c r="N12" s="25">
        <f>SUM(B12:M12)</f>
        <v>65695.89499999999</v>
      </c>
      <c r="P12" s="34"/>
    </row>
    <row r="13" spans="1:27" s="21" customFormat="1" ht="21" customHeight="1" x14ac:dyDescent="0.2">
      <c r="A13" s="26" t="s">
        <v>12</v>
      </c>
      <c r="B13" s="27">
        <v>5208</v>
      </c>
      <c r="C13" s="28">
        <v>5027</v>
      </c>
      <c r="D13" s="28">
        <v>5417</v>
      </c>
      <c r="E13" s="28">
        <v>5136</v>
      </c>
      <c r="F13" s="28">
        <v>4710</v>
      </c>
      <c r="G13" s="28">
        <v>4979</v>
      </c>
      <c r="H13" s="28">
        <v>5744</v>
      </c>
      <c r="I13" s="28">
        <v>5660</v>
      </c>
      <c r="J13" s="28">
        <v>5380</v>
      </c>
      <c r="K13" s="28">
        <v>6046</v>
      </c>
      <c r="L13" s="28">
        <v>5851</v>
      </c>
      <c r="M13" s="28">
        <v>5830</v>
      </c>
      <c r="N13" s="29">
        <f t="shared" si="0"/>
        <v>64988</v>
      </c>
      <c r="P13" s="34"/>
    </row>
    <row r="14" spans="1:27" s="21" customFormat="1" ht="21" customHeight="1" x14ac:dyDescent="0.2">
      <c r="A14" s="26" t="s">
        <v>8</v>
      </c>
      <c r="B14" s="27">
        <v>46.441999999999098</v>
      </c>
      <c r="C14" s="28">
        <v>63.155999999999949</v>
      </c>
      <c r="D14" s="28">
        <v>32</v>
      </c>
      <c r="E14" s="28">
        <v>43.875</v>
      </c>
      <c r="F14" s="28">
        <v>31</v>
      </c>
      <c r="G14" s="28">
        <v>42</v>
      </c>
      <c r="H14" s="28">
        <v>30.666000000000167</v>
      </c>
      <c r="I14" s="28">
        <v>109</v>
      </c>
      <c r="J14" s="28">
        <v>85</v>
      </c>
      <c r="K14" s="28">
        <v>122</v>
      </c>
      <c r="L14" s="28">
        <v>112.79700000000139</v>
      </c>
      <c r="M14" s="28">
        <v>23</v>
      </c>
      <c r="N14" s="29">
        <f t="shared" si="0"/>
        <v>740.9360000000006</v>
      </c>
      <c r="P14" s="36"/>
    </row>
    <row r="15" spans="1:27" s="32" customFormat="1" ht="21" customHeight="1" x14ac:dyDescent="0.2">
      <c r="A15" s="22" t="s">
        <v>9</v>
      </c>
      <c r="B15" s="24">
        <f t="shared" ref="B15:M15" si="1">SUM(B16:B49)</f>
        <v>5191.5580000000009</v>
      </c>
      <c r="C15" s="24">
        <f t="shared" si="1"/>
        <v>4965.8440000000001</v>
      </c>
      <c r="D15" s="24">
        <f t="shared" si="1"/>
        <v>5489</v>
      </c>
      <c r="E15" s="24">
        <f t="shared" si="1"/>
        <v>5109.125</v>
      </c>
      <c r="F15" s="24">
        <f t="shared" si="1"/>
        <v>5068</v>
      </c>
      <c r="G15" s="24">
        <f t="shared" si="1"/>
        <v>5037</v>
      </c>
      <c r="H15" s="24">
        <f t="shared" si="1"/>
        <v>5755.3339999999998</v>
      </c>
      <c r="I15" s="24">
        <f t="shared" si="1"/>
        <v>5558</v>
      </c>
      <c r="J15" s="24">
        <f t="shared" si="1"/>
        <v>5297</v>
      </c>
      <c r="K15" s="24">
        <f t="shared" si="1"/>
        <v>5926</v>
      </c>
      <c r="L15" s="24">
        <f t="shared" si="1"/>
        <v>5739.2029999999986</v>
      </c>
      <c r="M15" s="24">
        <f t="shared" si="1"/>
        <v>5819</v>
      </c>
      <c r="N15" s="25">
        <f t="shared" si="0"/>
        <v>64955.064000000006</v>
      </c>
      <c r="P15"/>
      <c r="Q15"/>
      <c r="R15"/>
      <c r="S15"/>
      <c r="T15"/>
      <c r="U15"/>
      <c r="V15"/>
      <c r="W15"/>
      <c r="X15"/>
      <c r="Y15"/>
      <c r="Z15"/>
      <c r="AA15"/>
    </row>
    <row r="16" spans="1:27" ht="16.5" customHeight="1" x14ac:dyDescent="0.2">
      <c r="A16" s="9" t="s">
        <v>14</v>
      </c>
      <c r="B16" s="3">
        <v>190.655</v>
      </c>
      <c r="C16" s="2">
        <v>176.96799999999999</v>
      </c>
      <c r="D16" s="2">
        <v>196.029</v>
      </c>
      <c r="E16" s="2">
        <v>180.364</v>
      </c>
      <c r="F16" s="2">
        <v>184.72</v>
      </c>
      <c r="G16" s="2">
        <v>179.08799999999999</v>
      </c>
      <c r="H16" s="2">
        <v>192.23699999999999</v>
      </c>
      <c r="I16" s="2">
        <v>199.16200000000001</v>
      </c>
      <c r="J16" s="2">
        <v>187.67099999999999</v>
      </c>
      <c r="K16" s="2">
        <v>249</v>
      </c>
      <c r="L16" s="2">
        <v>236</v>
      </c>
      <c r="M16" s="2">
        <v>193.98</v>
      </c>
      <c r="N16" s="4">
        <f t="shared" si="0"/>
        <v>2365.8740000000003</v>
      </c>
    </row>
    <row r="17" spans="1:27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</row>
    <row r="18" spans="1:27" ht="16.5" customHeight="1" x14ac:dyDescent="0.2">
      <c r="A18" s="9" t="s">
        <v>16</v>
      </c>
      <c r="B18" s="3">
        <v>94.311999999999998</v>
      </c>
      <c r="C18" s="2">
        <v>99.537999999999997</v>
      </c>
      <c r="D18" s="2">
        <v>106.246</v>
      </c>
      <c r="E18" s="2">
        <v>96.412999999999997</v>
      </c>
      <c r="F18" s="2">
        <v>102.111</v>
      </c>
      <c r="G18" s="2">
        <v>92.77</v>
      </c>
      <c r="H18" s="2">
        <v>94.816999999999993</v>
      </c>
      <c r="I18" s="2">
        <v>100.056</v>
      </c>
      <c r="J18" s="2">
        <v>89.67</v>
      </c>
      <c r="K18" s="2">
        <v>95.742999999999995</v>
      </c>
      <c r="L18" s="2">
        <v>100.13500000000001</v>
      </c>
      <c r="M18" s="2">
        <v>106.259</v>
      </c>
      <c r="N18" s="4">
        <f t="shared" si="0"/>
        <v>1178.07</v>
      </c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</row>
    <row r="19" spans="1:27" ht="16.5" customHeight="1" x14ac:dyDescent="0.2">
      <c r="A19" s="9" t="s">
        <v>17</v>
      </c>
      <c r="B19" s="3">
        <v>29.688000000000002</v>
      </c>
      <c r="C19" s="2">
        <v>32.462000000000003</v>
      </c>
      <c r="D19" s="2">
        <v>38.754000000000005</v>
      </c>
      <c r="E19" s="2">
        <v>38.587000000000003</v>
      </c>
      <c r="F19" s="2">
        <v>33.888999999999996</v>
      </c>
      <c r="G19" s="2">
        <v>51.230000000000004</v>
      </c>
      <c r="H19" s="2">
        <v>23.183000000000007</v>
      </c>
      <c r="I19" s="2">
        <v>26.944000000000003</v>
      </c>
      <c r="J19" s="2">
        <v>10.329999999999998</v>
      </c>
      <c r="K19" s="2">
        <v>31.257000000000005</v>
      </c>
      <c r="L19" s="2">
        <v>18.864999999999995</v>
      </c>
      <c r="M19" s="2">
        <v>27.741</v>
      </c>
      <c r="N19" s="4">
        <f t="shared" si="0"/>
        <v>362.93</v>
      </c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</row>
    <row r="20" spans="1:27" ht="16.5" customHeight="1" x14ac:dyDescent="0.2">
      <c r="A20" s="9" t="s">
        <v>18</v>
      </c>
      <c r="B20" s="3">
        <v>91</v>
      </c>
      <c r="C20" s="2">
        <v>77</v>
      </c>
      <c r="D20" s="2">
        <v>109</v>
      </c>
      <c r="E20" s="2">
        <v>99</v>
      </c>
      <c r="F20" s="2">
        <v>102</v>
      </c>
      <c r="G20" s="2">
        <v>109</v>
      </c>
      <c r="H20" s="2">
        <v>113</v>
      </c>
      <c r="I20" s="2">
        <v>107</v>
      </c>
      <c r="J20" s="2">
        <v>93</v>
      </c>
      <c r="K20" s="2">
        <v>94</v>
      </c>
      <c r="L20" s="2">
        <v>99</v>
      </c>
      <c r="M20" s="2">
        <v>101</v>
      </c>
      <c r="N20" s="4">
        <f t="shared" si="0"/>
        <v>1194</v>
      </c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</row>
    <row r="21" spans="1:27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</row>
    <row r="22" spans="1:27" ht="16.5" customHeight="1" x14ac:dyDescent="0.2">
      <c r="A22" s="9" t="s">
        <v>20</v>
      </c>
      <c r="B22" s="3">
        <v>101.456</v>
      </c>
      <c r="C22" s="2">
        <v>87.296999999999997</v>
      </c>
      <c r="D22" s="2">
        <v>63.612000000000002</v>
      </c>
      <c r="E22" s="2">
        <v>71.397000000000006</v>
      </c>
      <c r="F22" s="2">
        <v>99.908000000000001</v>
      </c>
      <c r="G22" s="2">
        <v>72.186000000000007</v>
      </c>
      <c r="H22" s="2">
        <v>86.935000000000002</v>
      </c>
      <c r="I22" s="2">
        <v>97.518000000000001</v>
      </c>
      <c r="J22" s="2">
        <v>87.596999999999994</v>
      </c>
      <c r="K22" s="2">
        <v>84.971000000000004</v>
      </c>
      <c r="L22" s="2">
        <v>81.659000000000006</v>
      </c>
      <c r="M22" s="2">
        <v>84.465000000000003</v>
      </c>
      <c r="N22" s="4">
        <f t="shared" si="0"/>
        <v>1019.001</v>
      </c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</row>
    <row r="23" spans="1:27" ht="16.5" customHeight="1" x14ac:dyDescent="0.2">
      <c r="A23" s="9" t="s">
        <v>21</v>
      </c>
      <c r="B23" s="3">
        <v>5.1269999999999998</v>
      </c>
      <c r="C23" s="2">
        <v>2.1909999999999998</v>
      </c>
      <c r="D23" s="2">
        <v>3.077</v>
      </c>
      <c r="E23" s="2">
        <v>7.0620000000000003</v>
      </c>
      <c r="F23" s="2">
        <v>6.3970000000000002</v>
      </c>
      <c r="G23" s="2">
        <v>0</v>
      </c>
      <c r="H23" s="2">
        <v>6.5439999999999996</v>
      </c>
      <c r="I23" s="2">
        <v>2.278</v>
      </c>
      <c r="J23" s="2">
        <v>5.7510000000000003</v>
      </c>
      <c r="K23" s="2">
        <v>6.8819999999999997</v>
      </c>
      <c r="L23" s="2">
        <v>8.0670000000000002</v>
      </c>
      <c r="M23" s="2">
        <v>6.758</v>
      </c>
      <c r="N23" s="4">
        <f t="shared" si="0"/>
        <v>60.134</v>
      </c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</row>
    <row r="24" spans="1:27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</row>
    <row r="25" spans="1:27" ht="16.5" customHeight="1" x14ac:dyDescent="0.2">
      <c r="A25" s="9" t="s">
        <v>23</v>
      </c>
      <c r="B25" s="3">
        <v>695.89600000000007</v>
      </c>
      <c r="C25" s="2">
        <v>668.17100000000005</v>
      </c>
      <c r="D25" s="2">
        <v>786.54300000000001</v>
      </c>
      <c r="E25" s="2">
        <v>761.31500000000005</v>
      </c>
      <c r="F25" s="2">
        <v>714.577</v>
      </c>
      <c r="G25" s="2">
        <v>669.30099999999993</v>
      </c>
      <c r="H25" s="2">
        <v>712.27699999999993</v>
      </c>
      <c r="I25" s="2">
        <v>647.3660000000001</v>
      </c>
      <c r="J25" s="2">
        <v>646.17700000000002</v>
      </c>
      <c r="K25" s="2">
        <v>720.02199999999993</v>
      </c>
      <c r="L25" s="2">
        <v>705.45900000000006</v>
      </c>
      <c r="M25" s="2">
        <v>748.77700000000004</v>
      </c>
      <c r="N25" s="4">
        <f t="shared" si="0"/>
        <v>8475.8809999999994</v>
      </c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</row>
    <row r="26" spans="1:27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</row>
    <row r="27" spans="1:27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</row>
    <row r="28" spans="1:27" ht="16.5" customHeight="1" x14ac:dyDescent="0.2">
      <c r="A28" s="9" t="s">
        <v>26</v>
      </c>
      <c r="B28" s="3">
        <v>16.582999999999998</v>
      </c>
      <c r="C28" s="2">
        <v>14.736000000000001</v>
      </c>
      <c r="D28" s="2">
        <v>15.273</v>
      </c>
      <c r="E28" s="2">
        <v>7.8280000000000003</v>
      </c>
      <c r="F28" s="2">
        <v>14.721</v>
      </c>
      <c r="G28" s="2">
        <v>23.523</v>
      </c>
      <c r="H28" s="2">
        <v>19.21</v>
      </c>
      <c r="I28" s="2">
        <v>17.274999999999999</v>
      </c>
      <c r="J28" s="2">
        <v>19.547000000000001</v>
      </c>
      <c r="K28" s="2">
        <v>20.745999999999999</v>
      </c>
      <c r="L28" s="2">
        <v>23.321999999999999</v>
      </c>
      <c r="M28" s="2">
        <v>20.844000000000001</v>
      </c>
      <c r="N28" s="4">
        <f t="shared" si="0"/>
        <v>213.608</v>
      </c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</row>
    <row r="29" spans="1:27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</row>
    <row r="30" spans="1:27" ht="16.5" customHeight="1" x14ac:dyDescent="0.2">
      <c r="A30" s="9" t="s">
        <v>28</v>
      </c>
      <c r="B30" s="3">
        <v>671</v>
      </c>
      <c r="C30" s="2">
        <v>630.17600000000004</v>
      </c>
      <c r="D30" s="2">
        <v>754</v>
      </c>
      <c r="E30" s="2">
        <v>698.16600000000005</v>
      </c>
      <c r="F30" s="2">
        <v>654</v>
      </c>
      <c r="G30" s="2">
        <v>625</v>
      </c>
      <c r="H30" s="2">
        <v>815.64</v>
      </c>
      <c r="I30" s="2">
        <v>802</v>
      </c>
      <c r="J30" s="2">
        <v>745</v>
      </c>
      <c r="K30" s="2">
        <v>743</v>
      </c>
      <c r="L30" s="2">
        <v>776.63199999999995</v>
      </c>
      <c r="M30" s="2">
        <v>758</v>
      </c>
      <c r="N30" s="4">
        <f t="shared" si="0"/>
        <v>8672.6139999999996</v>
      </c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</row>
    <row r="31" spans="1:27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</row>
    <row r="32" spans="1:27" ht="16.5" customHeight="1" x14ac:dyDescent="0.2">
      <c r="A32" s="9" t="s">
        <v>30</v>
      </c>
      <c r="B32" s="3">
        <v>172.71199999999999</v>
      </c>
      <c r="C32" s="2">
        <v>167.43</v>
      </c>
      <c r="D32" s="2">
        <v>171.14500000000001</v>
      </c>
      <c r="E32" s="2">
        <v>190.12899999999999</v>
      </c>
      <c r="F32" s="2">
        <v>287.98200000000003</v>
      </c>
      <c r="G32" s="2">
        <v>275.37400000000002</v>
      </c>
      <c r="H32" s="2">
        <v>270.09100000000001</v>
      </c>
      <c r="I32" s="2">
        <v>306.43099999999998</v>
      </c>
      <c r="J32" s="2">
        <v>274.84399999999999</v>
      </c>
      <c r="K32" s="2">
        <v>271.23099999999999</v>
      </c>
      <c r="L32" s="2">
        <v>240.55600000000001</v>
      </c>
      <c r="M32" s="2">
        <v>276.68099999999998</v>
      </c>
      <c r="N32" s="4">
        <f t="shared" si="0"/>
        <v>2904.6060000000007</v>
      </c>
    </row>
    <row r="33" spans="1:14" ht="16.5" customHeight="1" x14ac:dyDescent="0.2">
      <c r="A33" s="9" t="s">
        <v>31</v>
      </c>
      <c r="B33" s="3">
        <v>33.061999999999998</v>
      </c>
      <c r="C33" s="2">
        <v>17.404</v>
      </c>
      <c r="D33" s="2">
        <v>32.011000000000003</v>
      </c>
      <c r="E33" s="2">
        <v>10.576000000000001</v>
      </c>
      <c r="F33" s="2">
        <v>23.451000000000001</v>
      </c>
      <c r="G33" s="2">
        <v>14.967000000000001</v>
      </c>
      <c r="H33" s="2">
        <v>16.946000000000002</v>
      </c>
      <c r="I33" s="2">
        <v>11.346</v>
      </c>
      <c r="J33" s="2">
        <v>25.416</v>
      </c>
      <c r="K33" s="2">
        <v>24.039000000000001</v>
      </c>
      <c r="L33" s="2">
        <v>31.463999999999999</v>
      </c>
      <c r="M33" s="2">
        <v>27.5</v>
      </c>
      <c r="N33" s="4">
        <f t="shared" si="0"/>
        <v>268.18200000000002</v>
      </c>
    </row>
    <row r="34" spans="1:14" ht="16.5" customHeight="1" x14ac:dyDescent="0.2">
      <c r="A34" s="9" t="s">
        <v>32</v>
      </c>
      <c r="B34" s="3">
        <v>24.323</v>
      </c>
      <c r="C34" s="2">
        <v>13.727</v>
      </c>
      <c r="D34" s="2">
        <v>0</v>
      </c>
      <c r="E34" s="2">
        <v>5.0970000000000004</v>
      </c>
      <c r="F34" s="2">
        <v>4.1619999999999999</v>
      </c>
      <c r="G34" s="2">
        <v>5.391</v>
      </c>
      <c r="H34" s="2">
        <v>0</v>
      </c>
      <c r="I34" s="2">
        <v>22.846</v>
      </c>
      <c r="J34" s="2">
        <v>0</v>
      </c>
      <c r="K34" s="2">
        <v>1.9990000000000001</v>
      </c>
      <c r="L34" s="2">
        <v>0</v>
      </c>
      <c r="M34" s="2">
        <v>7.452</v>
      </c>
      <c r="N34" s="4">
        <f t="shared" si="0"/>
        <v>84.996999999999986</v>
      </c>
    </row>
    <row r="35" spans="1:14" ht="16.5" customHeight="1" x14ac:dyDescent="0.2">
      <c r="A35" s="9" t="s">
        <v>33</v>
      </c>
      <c r="B35" s="3">
        <v>33.555999999999997</v>
      </c>
      <c r="C35" s="2">
        <v>41.628999999999998</v>
      </c>
      <c r="D35" s="2">
        <v>62.247</v>
      </c>
      <c r="E35" s="2">
        <v>44.527999999999999</v>
      </c>
      <c r="F35" s="2">
        <v>41.445999999999998</v>
      </c>
      <c r="G35" s="2">
        <v>42.683999999999997</v>
      </c>
      <c r="H35" s="2">
        <v>59.767000000000003</v>
      </c>
      <c r="I35" s="2">
        <v>17.039000000000001</v>
      </c>
      <c r="J35" s="2">
        <v>49.439</v>
      </c>
      <c r="K35" s="2">
        <v>50.536999999999999</v>
      </c>
      <c r="L35" s="2">
        <v>47.475000000000001</v>
      </c>
      <c r="M35" s="2">
        <v>40.360999999999997</v>
      </c>
      <c r="N35" s="4">
        <f t="shared" si="0"/>
        <v>530.70800000000008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1946.059</v>
      </c>
      <c r="C37" s="2">
        <v>1966.24</v>
      </c>
      <c r="D37" s="2">
        <v>2016.259</v>
      </c>
      <c r="E37" s="2">
        <v>1834.828</v>
      </c>
      <c r="F37" s="2">
        <v>1627.855</v>
      </c>
      <c r="G37" s="2">
        <v>1706.0830000000001</v>
      </c>
      <c r="H37" s="2">
        <v>2021.1089999999999</v>
      </c>
      <c r="I37" s="2">
        <v>1871.605</v>
      </c>
      <c r="J37" s="2">
        <v>1817.4069999999999</v>
      </c>
      <c r="K37" s="2">
        <v>1975.251</v>
      </c>
      <c r="L37" s="2">
        <v>2024.4690000000001</v>
      </c>
      <c r="M37" s="2">
        <v>2046.6869999999999</v>
      </c>
      <c r="N37" s="4">
        <f t="shared" si="0"/>
        <v>22853.851999999999</v>
      </c>
    </row>
    <row r="38" spans="1:14" ht="16.5" customHeight="1" x14ac:dyDescent="0.2">
      <c r="A38" s="9" t="s">
        <v>36</v>
      </c>
      <c r="B38" s="3">
        <v>4.2880000000000003</v>
      </c>
      <c r="C38" s="2">
        <v>4.57</v>
      </c>
      <c r="D38" s="2">
        <v>0.33800000000000002</v>
      </c>
      <c r="E38" s="2">
        <v>0.84199999999999997</v>
      </c>
      <c r="F38" s="2">
        <v>2.1040000000000001</v>
      </c>
      <c r="G38" s="2">
        <v>6.5010000000000003</v>
      </c>
      <c r="H38" s="2">
        <v>7.0869999999999997</v>
      </c>
      <c r="I38" s="2">
        <v>7.7329999999999997</v>
      </c>
      <c r="J38" s="2">
        <v>12.894</v>
      </c>
      <c r="K38" s="2">
        <v>5.9429999999999996</v>
      </c>
      <c r="L38" s="2">
        <v>2.036</v>
      </c>
      <c r="M38" s="2">
        <v>10.319000000000001</v>
      </c>
      <c r="N38" s="4">
        <f t="shared" si="0"/>
        <v>64.655000000000001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1.0999999999999999E-2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1.0999999999999999E-2</v>
      </c>
    </row>
    <row r="41" spans="1:14" ht="16.5" customHeight="1" x14ac:dyDescent="0.2">
      <c r="A41" s="9" t="s">
        <v>39</v>
      </c>
      <c r="B41" s="3">
        <v>0.72799999999999998</v>
      </c>
      <c r="C41" s="2">
        <v>2.1999999999999999E-2</v>
      </c>
      <c r="D41" s="2">
        <v>1.1499999999999999</v>
      </c>
      <c r="E41" s="2">
        <v>0.85799999999999998</v>
      </c>
      <c r="F41" s="2">
        <v>3.1E-2</v>
      </c>
      <c r="G41" s="2">
        <v>0.03</v>
      </c>
      <c r="H41" s="2">
        <v>1.621</v>
      </c>
      <c r="I41" s="2">
        <v>2.9000000000000001E-2</v>
      </c>
      <c r="J41" s="2">
        <v>0.03</v>
      </c>
      <c r="K41" s="2">
        <v>1.8680000000000001</v>
      </c>
      <c r="L41" s="2">
        <v>0.47699999999999998</v>
      </c>
      <c r="M41" s="2">
        <v>3.1E-2</v>
      </c>
      <c r="N41" s="4">
        <f t="shared" si="0"/>
        <v>6.875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1.5449999999999999</v>
      </c>
      <c r="H42" s="2">
        <v>0.8</v>
      </c>
      <c r="I42" s="2">
        <v>0</v>
      </c>
      <c r="J42" s="2">
        <v>0.91800000000000004</v>
      </c>
      <c r="K42" s="2">
        <v>1.0760000000000001</v>
      </c>
      <c r="L42" s="2">
        <v>0.81599999999999995</v>
      </c>
      <c r="M42" s="2">
        <v>4.2999999999999997E-2</v>
      </c>
      <c r="N42" s="4">
        <f t="shared" si="0"/>
        <v>5.1980000000000004</v>
      </c>
    </row>
    <row r="43" spans="1:14" ht="16.5" customHeight="1" x14ac:dyDescent="0.2">
      <c r="A43" s="9" t="s">
        <v>40</v>
      </c>
      <c r="B43" s="3">
        <v>321.34899999999999</v>
      </c>
      <c r="C43" s="2">
        <v>292.30099999999999</v>
      </c>
      <c r="D43" s="2">
        <v>362.99599999999998</v>
      </c>
      <c r="E43" s="2">
        <v>320.37699999999995</v>
      </c>
      <c r="F43" s="2">
        <v>421.50900000000001</v>
      </c>
      <c r="G43" s="2">
        <v>375.91699999999997</v>
      </c>
      <c r="H43" s="2">
        <v>493.86900000000003</v>
      </c>
      <c r="I43" s="2">
        <v>506.96300000000002</v>
      </c>
      <c r="J43" s="2">
        <v>485.84100000000001</v>
      </c>
      <c r="K43" s="2">
        <v>546.92200000000003</v>
      </c>
      <c r="L43" s="2">
        <v>481.77100000000002</v>
      </c>
      <c r="M43" s="2">
        <v>487.36900000000003</v>
      </c>
      <c r="N43" s="4">
        <f t="shared" si="0"/>
        <v>5097.1839999999993</v>
      </c>
    </row>
    <row r="44" spans="1:14" ht="16.5" customHeight="1" x14ac:dyDescent="0.2">
      <c r="A44" s="9" t="s">
        <v>41</v>
      </c>
      <c r="B44" s="3">
        <v>36.536999999999999</v>
      </c>
      <c r="C44" s="2">
        <v>26.146000000000001</v>
      </c>
      <c r="D44" s="2">
        <v>33.747</v>
      </c>
      <c r="E44" s="2">
        <v>34.639000000000003</v>
      </c>
      <c r="F44" s="2">
        <v>34.396999999999998</v>
      </c>
      <c r="G44" s="2">
        <v>32.195</v>
      </c>
      <c r="H44" s="2">
        <v>31.245000000000001</v>
      </c>
      <c r="I44" s="2">
        <v>36.536999999999999</v>
      </c>
      <c r="J44" s="2">
        <v>38.884</v>
      </c>
      <c r="K44" s="2">
        <v>31.568999999999999</v>
      </c>
      <c r="L44" s="2">
        <v>35.606000000000002</v>
      </c>
      <c r="M44" s="2">
        <v>37.311999999999998</v>
      </c>
      <c r="N44" s="4">
        <f t="shared" si="0"/>
        <v>408.81400000000002</v>
      </c>
    </row>
    <row r="45" spans="1:14" ht="16.5" customHeight="1" x14ac:dyDescent="0.2">
      <c r="A45" s="9" t="s">
        <v>42</v>
      </c>
      <c r="B45" s="3">
        <v>185.90199999999999</v>
      </c>
      <c r="C45" s="2">
        <v>146.58600000000001</v>
      </c>
      <c r="D45" s="2">
        <v>206.703</v>
      </c>
      <c r="E45" s="2">
        <v>219.619</v>
      </c>
      <c r="F45" s="2">
        <v>235.26300000000001</v>
      </c>
      <c r="G45" s="2">
        <v>239.11500000000001</v>
      </c>
      <c r="H45" s="2">
        <v>213.79400000000001</v>
      </c>
      <c r="I45" s="2">
        <v>158.07599999999999</v>
      </c>
      <c r="J45" s="2">
        <v>276.02699999999999</v>
      </c>
      <c r="K45" s="2">
        <v>229.38200000000001</v>
      </c>
      <c r="L45" s="2">
        <v>172.898</v>
      </c>
      <c r="M45" s="2">
        <v>188.1</v>
      </c>
      <c r="N45" s="4">
        <f t="shared" si="0"/>
        <v>2471.4650000000001</v>
      </c>
    </row>
    <row r="46" spans="1:14" ht="16.5" customHeight="1" x14ac:dyDescent="0.2">
      <c r="A46" s="9" t="s">
        <v>43</v>
      </c>
      <c r="B46" s="3">
        <v>20.56</v>
      </c>
      <c r="C46" s="2">
        <v>26.523</v>
      </c>
      <c r="D46" s="2">
        <v>29.193000000000001</v>
      </c>
      <c r="E46" s="2">
        <v>24.116</v>
      </c>
      <c r="F46" s="2">
        <v>25.635999999999999</v>
      </c>
      <c r="G46" s="2">
        <v>13.493</v>
      </c>
      <c r="H46" s="2">
        <v>19.042000000000002</v>
      </c>
      <c r="I46" s="2">
        <v>20.183</v>
      </c>
      <c r="J46" s="2">
        <v>21.053999999999998</v>
      </c>
      <c r="K46" s="2">
        <v>22.327999999999999</v>
      </c>
      <c r="L46" s="2">
        <v>20.649000000000001</v>
      </c>
      <c r="M46" s="2">
        <v>22.37</v>
      </c>
      <c r="N46" s="4">
        <f t="shared" si="0"/>
        <v>265.14699999999999</v>
      </c>
    </row>
    <row r="47" spans="1:14" ht="16.5" customHeight="1" x14ac:dyDescent="0.2">
      <c r="A47" s="9" t="s">
        <v>44</v>
      </c>
      <c r="B47" s="3">
        <v>7.2110000000000003</v>
      </c>
      <c r="C47" s="2">
        <v>8.4380000000000006</v>
      </c>
      <c r="D47" s="2">
        <v>8.49</v>
      </c>
      <c r="E47" s="2">
        <v>7.5010000000000003</v>
      </c>
      <c r="F47" s="2">
        <v>8.9860000000000007</v>
      </c>
      <c r="G47" s="2">
        <v>8.27</v>
      </c>
      <c r="H47" s="2">
        <v>6.5430000000000001</v>
      </c>
      <c r="I47" s="2">
        <v>6.9</v>
      </c>
      <c r="J47" s="2">
        <v>9.0459999999999994</v>
      </c>
      <c r="K47" s="2">
        <v>8.4350000000000005</v>
      </c>
      <c r="L47" s="2">
        <v>7.63</v>
      </c>
      <c r="M47" s="2">
        <v>7.508</v>
      </c>
      <c r="N47" s="4">
        <f t="shared" si="0"/>
        <v>94.957999999999984</v>
      </c>
    </row>
    <row r="48" spans="1:14" ht="16.5" customHeight="1" x14ac:dyDescent="0.2">
      <c r="A48" s="9" t="s">
        <v>45</v>
      </c>
      <c r="B48" s="3">
        <v>307.60199999999998</v>
      </c>
      <c r="C48" s="2">
        <v>289.971</v>
      </c>
      <c r="D48" s="2">
        <v>319.20100000000002</v>
      </c>
      <c r="E48" s="2">
        <v>246</v>
      </c>
      <c r="F48" s="2">
        <v>243.95099999999999</v>
      </c>
      <c r="G48" s="2">
        <v>326.19799999999998</v>
      </c>
      <c r="H48" s="2">
        <v>325.93400000000003</v>
      </c>
      <c r="I48" s="2">
        <v>351</v>
      </c>
      <c r="J48" s="2">
        <v>322.27600000000001</v>
      </c>
      <c r="K48" s="2">
        <v>390</v>
      </c>
      <c r="L48" s="2">
        <v>332</v>
      </c>
      <c r="M48" s="2">
        <v>327.36700000000002</v>
      </c>
      <c r="N48" s="4">
        <f t="shared" si="0"/>
        <v>3781.5</v>
      </c>
    </row>
    <row r="49" spans="1:28" ht="18" customHeight="1" x14ac:dyDescent="0.2">
      <c r="A49" s="10" t="s">
        <v>52</v>
      </c>
      <c r="B49" s="7">
        <v>201.95200000000003</v>
      </c>
      <c r="C49" s="5">
        <v>176.30699999999999</v>
      </c>
      <c r="D49" s="5">
        <v>172.98599999999988</v>
      </c>
      <c r="E49" s="5">
        <v>209.88300000000004</v>
      </c>
      <c r="F49" s="5">
        <v>198.90400000000045</v>
      </c>
      <c r="G49" s="5">
        <v>167.1389999999983</v>
      </c>
      <c r="H49" s="5">
        <v>223.64300000000003</v>
      </c>
      <c r="I49" s="5">
        <v>241.71299999999974</v>
      </c>
      <c r="J49" s="5">
        <v>78.180999999999585</v>
      </c>
      <c r="K49" s="5">
        <v>319.79899999999816</v>
      </c>
      <c r="L49" s="5">
        <v>292.21699999999998</v>
      </c>
      <c r="M49" s="5">
        <v>292.07600000000002</v>
      </c>
      <c r="N49" s="6">
        <f t="shared" si="0"/>
        <v>2574.7999999999961</v>
      </c>
    </row>
    <row r="51" spans="1:28" x14ac:dyDescent="0.2">
      <c r="I51"/>
      <c r="J51"/>
      <c r="K51"/>
    </row>
    <row r="52" spans="1:28" x14ac:dyDescent="0.2">
      <c r="I52"/>
      <c r="J52"/>
      <c r="K52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8"/>
    </row>
    <row r="53" spans="1:28" x14ac:dyDescent="0.2">
      <c r="I53"/>
      <c r="J53"/>
      <c r="K53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8"/>
    </row>
    <row r="54" spans="1:28" x14ac:dyDescent="0.2">
      <c r="I54"/>
      <c r="J54"/>
      <c r="K54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8"/>
    </row>
    <row r="55" spans="1:28" x14ac:dyDescent="0.2">
      <c r="I55"/>
      <c r="J55"/>
      <c r="K55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8"/>
    </row>
    <row r="56" spans="1:28" x14ac:dyDescent="0.2">
      <c r="I56"/>
      <c r="J56"/>
      <c r="K56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8"/>
    </row>
    <row r="57" spans="1:28" x14ac:dyDescent="0.2">
      <c r="I57"/>
      <c r="J57"/>
      <c r="K57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8"/>
    </row>
    <row r="58" spans="1:28" x14ac:dyDescent="0.2">
      <c r="I58"/>
      <c r="J58"/>
      <c r="K58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8"/>
    </row>
    <row r="59" spans="1:28" x14ac:dyDescent="0.2">
      <c r="I59"/>
      <c r="J59"/>
      <c r="K5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8"/>
    </row>
    <row r="60" spans="1:28" x14ac:dyDescent="0.2">
      <c r="I60"/>
      <c r="J60"/>
      <c r="K60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8"/>
    </row>
    <row r="61" spans="1:28" x14ac:dyDescent="0.2">
      <c r="I61"/>
      <c r="J61"/>
      <c r="K61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8"/>
    </row>
    <row r="62" spans="1:28" x14ac:dyDescent="0.2">
      <c r="I62"/>
      <c r="J62"/>
      <c r="K62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8"/>
    </row>
    <row r="63" spans="1:28" x14ac:dyDescent="0.2">
      <c r="I63"/>
      <c r="J63"/>
      <c r="K63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8"/>
    </row>
    <row r="64" spans="1:28" x14ac:dyDescent="0.2">
      <c r="I64"/>
      <c r="J64"/>
      <c r="K64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8"/>
    </row>
    <row r="65" spans="9:28" x14ac:dyDescent="0.2">
      <c r="I65"/>
      <c r="J65"/>
      <c r="K65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8"/>
    </row>
    <row r="66" spans="9:28" x14ac:dyDescent="0.2">
      <c r="I66"/>
      <c r="J66"/>
      <c r="K66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8"/>
    </row>
    <row r="67" spans="9:28" x14ac:dyDescent="0.2">
      <c r="I67"/>
      <c r="J67"/>
      <c r="K67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8"/>
    </row>
    <row r="68" spans="9:28" x14ac:dyDescent="0.2">
      <c r="I68"/>
      <c r="J68"/>
      <c r="K68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8"/>
    </row>
    <row r="69" spans="9:28" x14ac:dyDescent="0.2">
      <c r="I69"/>
      <c r="J69"/>
      <c r="K6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8"/>
    </row>
    <row r="70" spans="9:28" x14ac:dyDescent="0.2">
      <c r="I70"/>
      <c r="J70"/>
      <c r="K70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8"/>
    </row>
    <row r="71" spans="9:28" x14ac:dyDescent="0.2">
      <c r="I71"/>
      <c r="J71"/>
      <c r="K71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8"/>
    </row>
    <row r="72" spans="9:28" x14ac:dyDescent="0.2">
      <c r="I72"/>
      <c r="J72"/>
      <c r="K72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8"/>
    </row>
    <row r="73" spans="9:28" x14ac:dyDescent="0.2">
      <c r="I73"/>
      <c r="J73"/>
      <c r="K73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8"/>
    </row>
    <row r="74" spans="9:28" x14ac:dyDescent="0.2">
      <c r="I74"/>
      <c r="J74"/>
      <c r="K74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8"/>
    </row>
    <row r="75" spans="9:28" x14ac:dyDescent="0.2">
      <c r="I75"/>
      <c r="J75"/>
      <c r="K75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8"/>
    </row>
    <row r="76" spans="9:28" x14ac:dyDescent="0.2">
      <c r="I76"/>
      <c r="J76"/>
      <c r="K76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8"/>
    </row>
    <row r="77" spans="9:28" x14ac:dyDescent="0.2">
      <c r="I77"/>
      <c r="J77"/>
      <c r="K77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8"/>
    </row>
    <row r="78" spans="9:28" x14ac:dyDescent="0.2">
      <c r="I78"/>
      <c r="J78"/>
      <c r="K78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8"/>
    </row>
    <row r="79" spans="9:28" x14ac:dyDescent="0.2">
      <c r="I79"/>
      <c r="J79"/>
      <c r="K7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8"/>
    </row>
    <row r="80" spans="9:28" x14ac:dyDescent="0.2">
      <c r="I80"/>
      <c r="J80"/>
      <c r="K80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8"/>
    </row>
    <row r="81" spans="9:28" x14ac:dyDescent="0.2">
      <c r="I81"/>
      <c r="J81"/>
      <c r="K81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8"/>
    </row>
    <row r="82" spans="9:28" x14ac:dyDescent="0.2">
      <c r="I82"/>
      <c r="J82"/>
      <c r="K82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8"/>
    </row>
    <row r="83" spans="9:28" x14ac:dyDescent="0.2">
      <c r="I83"/>
      <c r="J83"/>
      <c r="K83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8"/>
    </row>
    <row r="84" spans="9:28" x14ac:dyDescent="0.2">
      <c r="I84"/>
      <c r="J84"/>
      <c r="K84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8"/>
    </row>
    <row r="85" spans="9:28" x14ac:dyDescent="0.2">
      <c r="I85"/>
      <c r="J85"/>
      <c r="K85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8"/>
    </row>
    <row r="86" spans="9:28" x14ac:dyDescent="0.2">
      <c r="I86"/>
      <c r="J86"/>
      <c r="K86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8"/>
    </row>
    <row r="87" spans="9:28" x14ac:dyDescent="0.2">
      <c r="I87"/>
      <c r="J87"/>
      <c r="K87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8"/>
    </row>
    <row r="88" spans="9:28" x14ac:dyDescent="0.2">
      <c r="I88"/>
      <c r="J88"/>
      <c r="K88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8"/>
    </row>
    <row r="89" spans="9:28" x14ac:dyDescent="0.2">
      <c r="I89"/>
      <c r="J89"/>
      <c r="K8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8"/>
    </row>
    <row r="90" spans="9:28" x14ac:dyDescent="0.2">
      <c r="I90"/>
      <c r="J90"/>
      <c r="K90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8"/>
    </row>
    <row r="91" spans="9:28" x14ac:dyDescent="0.2">
      <c r="I91"/>
      <c r="J91"/>
      <c r="K91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8"/>
    </row>
    <row r="92" spans="9:28" x14ac:dyDescent="0.2">
      <c r="I92"/>
      <c r="J92"/>
      <c r="K92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8"/>
    </row>
    <row r="93" spans="9:28" x14ac:dyDescent="0.2">
      <c r="I93"/>
      <c r="J93"/>
      <c r="K93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8"/>
    </row>
    <row r="94" spans="9:28" x14ac:dyDescent="0.2">
      <c r="I94"/>
      <c r="J94"/>
      <c r="K94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8"/>
    </row>
    <row r="95" spans="9:28" x14ac:dyDescent="0.2">
      <c r="I95"/>
      <c r="J95"/>
      <c r="K95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8"/>
    </row>
    <row r="96" spans="9:28" x14ac:dyDescent="0.2">
      <c r="I96"/>
      <c r="J96"/>
      <c r="K96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8"/>
    </row>
    <row r="97" spans="9:16" x14ac:dyDescent="0.2">
      <c r="I97"/>
      <c r="J97"/>
      <c r="K97"/>
      <c r="P97" s="38"/>
    </row>
    <row r="98" spans="9:16" x14ac:dyDescent="0.2">
      <c r="I98"/>
      <c r="J98"/>
      <c r="K98"/>
      <c r="P98" s="38"/>
    </row>
    <row r="99" spans="9:16" x14ac:dyDescent="0.2">
      <c r="I99"/>
      <c r="J99"/>
      <c r="K99"/>
      <c r="P99" s="38"/>
    </row>
    <row r="100" spans="9:16" x14ac:dyDescent="0.2">
      <c r="I100"/>
      <c r="J100"/>
      <c r="K100"/>
      <c r="P100" s="38"/>
    </row>
    <row r="101" spans="9:16" x14ac:dyDescent="0.2">
      <c r="I101"/>
      <c r="J101"/>
      <c r="K101"/>
      <c r="P101" s="38"/>
    </row>
    <row r="102" spans="9:16" x14ac:dyDescent="0.2">
      <c r="I102"/>
      <c r="J102"/>
      <c r="K102"/>
      <c r="P102" s="38"/>
    </row>
    <row r="103" spans="9:16" x14ac:dyDescent="0.2">
      <c r="I103"/>
      <c r="J103"/>
      <c r="K103"/>
      <c r="P103" s="38"/>
    </row>
    <row r="104" spans="9:16" x14ac:dyDescent="0.2">
      <c r="I104"/>
      <c r="J104"/>
      <c r="K104"/>
      <c r="P104" s="38"/>
    </row>
    <row r="105" spans="9:16" x14ac:dyDescent="0.2">
      <c r="I105"/>
      <c r="J105"/>
      <c r="K105"/>
      <c r="P105" s="38"/>
    </row>
    <row r="106" spans="9:16" x14ac:dyDescent="0.2">
      <c r="I106"/>
      <c r="J106"/>
      <c r="K106"/>
      <c r="P106" s="38"/>
    </row>
    <row r="107" spans="9:16" x14ac:dyDescent="0.2">
      <c r="I107"/>
      <c r="J107"/>
      <c r="K107"/>
      <c r="P107" s="38"/>
    </row>
    <row r="108" spans="9:16" x14ac:dyDescent="0.2">
      <c r="I108"/>
      <c r="J108"/>
      <c r="K108"/>
      <c r="P108" s="38"/>
    </row>
    <row r="109" spans="9:16" x14ac:dyDescent="0.2">
      <c r="I109"/>
      <c r="J109"/>
      <c r="K109"/>
      <c r="P109" s="38"/>
    </row>
    <row r="110" spans="9:16" x14ac:dyDescent="0.2">
      <c r="I110"/>
      <c r="J110"/>
      <c r="K110"/>
      <c r="P110" s="38"/>
    </row>
    <row r="111" spans="9:16" x14ac:dyDescent="0.2">
      <c r="I111"/>
      <c r="J111"/>
      <c r="K111"/>
      <c r="P111" s="38"/>
    </row>
    <row r="112" spans="9:16" x14ac:dyDescent="0.2">
      <c r="I112"/>
      <c r="J112"/>
      <c r="K112"/>
      <c r="P112" s="38"/>
    </row>
    <row r="113" spans="9:16" x14ac:dyDescent="0.2">
      <c r="I113"/>
      <c r="J113"/>
      <c r="K113"/>
      <c r="P113" s="38"/>
    </row>
    <row r="114" spans="9:16" x14ac:dyDescent="0.2">
      <c r="I114"/>
      <c r="J114"/>
      <c r="K114"/>
      <c r="P114" s="38"/>
    </row>
    <row r="115" spans="9:16" x14ac:dyDescent="0.2">
      <c r="I115"/>
      <c r="J115"/>
      <c r="K115"/>
      <c r="P115" s="38"/>
    </row>
    <row r="116" spans="9:16" x14ac:dyDescent="0.2">
      <c r="I116"/>
      <c r="J116"/>
      <c r="K116"/>
      <c r="P116" s="38"/>
    </row>
    <row r="117" spans="9:16" x14ac:dyDescent="0.2">
      <c r="I117"/>
      <c r="J117"/>
      <c r="K117"/>
      <c r="P117" s="38"/>
    </row>
    <row r="118" spans="9:16" x14ac:dyDescent="0.2">
      <c r="I118"/>
      <c r="J118"/>
      <c r="K118"/>
      <c r="P118" s="38"/>
    </row>
    <row r="119" spans="9:16" x14ac:dyDescent="0.2">
      <c r="I119"/>
      <c r="J119"/>
      <c r="K119"/>
      <c r="P119" s="38"/>
    </row>
    <row r="120" spans="9:16" x14ac:dyDescent="0.2">
      <c r="I120"/>
      <c r="J120"/>
      <c r="K120"/>
      <c r="P120" s="38"/>
    </row>
    <row r="121" spans="9:16" x14ac:dyDescent="0.2">
      <c r="I121"/>
      <c r="J121"/>
      <c r="K121"/>
      <c r="P121" s="38"/>
    </row>
    <row r="122" spans="9:16" x14ac:dyDescent="0.2">
      <c r="I122"/>
      <c r="J122"/>
      <c r="K122"/>
      <c r="P122" s="38"/>
    </row>
    <row r="123" spans="9:16" x14ac:dyDescent="0.2">
      <c r="I123"/>
      <c r="J123"/>
      <c r="K123"/>
    </row>
    <row r="124" spans="9:16" x14ac:dyDescent="0.2">
      <c r="I124"/>
      <c r="J124"/>
      <c r="K124"/>
    </row>
    <row r="125" spans="9:16" x14ac:dyDescent="0.2">
      <c r="I125"/>
      <c r="J125"/>
      <c r="K125"/>
    </row>
    <row r="126" spans="9:16" x14ac:dyDescent="0.2">
      <c r="I126"/>
      <c r="J126"/>
      <c r="K126"/>
    </row>
    <row r="127" spans="9:16" x14ac:dyDescent="0.2">
      <c r="I127"/>
      <c r="J127"/>
      <c r="K127"/>
    </row>
    <row r="128" spans="9:16" x14ac:dyDescent="0.2">
      <c r="I128"/>
      <c r="J128"/>
      <c r="K128"/>
    </row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6">
    <pageSetUpPr fitToPage="1"/>
  </sheetPr>
  <dimension ref="A1:AC24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42736</v>
      </c>
      <c r="C4" s="13">
        <v>42767</v>
      </c>
      <c r="D4" s="13">
        <v>42795</v>
      </c>
      <c r="E4" s="13">
        <v>42826</v>
      </c>
      <c r="F4" s="13">
        <v>42856</v>
      </c>
      <c r="G4" s="13">
        <v>42887</v>
      </c>
      <c r="H4" s="13">
        <v>42917</v>
      </c>
      <c r="I4" s="14">
        <v>42948</v>
      </c>
      <c r="J4" s="14">
        <v>42979</v>
      </c>
      <c r="K4" s="14">
        <v>43009</v>
      </c>
      <c r="L4" s="13">
        <v>43040</v>
      </c>
      <c r="M4" s="13">
        <v>43070</v>
      </c>
      <c r="N4" s="15" t="s">
        <v>50</v>
      </c>
    </row>
    <row r="5" spans="1:28" s="21" customFormat="1" ht="21" customHeight="1" x14ac:dyDescent="0.2">
      <c r="A5" s="17" t="s">
        <v>0</v>
      </c>
      <c r="B5" s="18">
        <v>9.4740000000000002</v>
      </c>
      <c r="C5" s="19">
        <v>8.484</v>
      </c>
      <c r="D5" s="19">
        <v>9.1189999999999998</v>
      </c>
      <c r="E5" s="19">
        <v>10.032</v>
      </c>
      <c r="F5" s="19">
        <v>11.367000000000001</v>
      </c>
      <c r="G5" s="19">
        <v>10.874000000000001</v>
      </c>
      <c r="H5" s="19">
        <v>10.821999999999999</v>
      </c>
      <c r="I5" s="19">
        <v>10.375</v>
      </c>
      <c r="J5" s="19">
        <v>9.3789999999999996</v>
      </c>
      <c r="K5" s="19">
        <v>9.6950000000000003</v>
      </c>
      <c r="L5" s="19">
        <v>10.319000000000001</v>
      </c>
      <c r="M5" s="19">
        <v>10.164999999999999</v>
      </c>
      <c r="N5" s="20">
        <f>SUM(B5:M5)</f>
        <v>120.10500000000002</v>
      </c>
      <c r="P5" s="34"/>
    </row>
    <row r="6" spans="1:28" s="21" customFormat="1" ht="21" customHeight="1" x14ac:dyDescent="0.2">
      <c r="A6" s="22" t="s">
        <v>1</v>
      </c>
      <c r="B6" s="23">
        <v>5876</v>
      </c>
      <c r="C6" s="24">
        <v>5101</v>
      </c>
      <c r="D6" s="24">
        <v>5364</v>
      </c>
      <c r="E6" s="24">
        <v>5323</v>
      </c>
      <c r="F6" s="24">
        <v>5131</v>
      </c>
      <c r="G6" s="24">
        <v>5105</v>
      </c>
      <c r="H6" s="24">
        <v>6448</v>
      </c>
      <c r="I6" s="24">
        <v>5463</v>
      </c>
      <c r="J6" s="24">
        <v>5866</v>
      </c>
      <c r="K6" s="24">
        <v>5526</v>
      </c>
      <c r="L6" s="24">
        <v>5836</v>
      </c>
      <c r="M6" s="24">
        <v>4919</v>
      </c>
      <c r="N6" s="25">
        <f>SUM(B6:M6)</f>
        <v>65958</v>
      </c>
      <c r="P6" s="34"/>
    </row>
    <row r="7" spans="1:28" s="21" customFormat="1" ht="21" customHeight="1" x14ac:dyDescent="0.2">
      <c r="A7" s="26" t="s">
        <v>2</v>
      </c>
      <c r="B7" s="27">
        <v>-52</v>
      </c>
      <c r="C7" s="28">
        <v>-36</v>
      </c>
      <c r="D7" s="28">
        <v>-148</v>
      </c>
      <c r="E7" s="28">
        <v>69</v>
      </c>
      <c r="F7" s="28">
        <v>77</v>
      </c>
      <c r="G7" s="28">
        <v>-42</v>
      </c>
      <c r="H7" s="28">
        <v>16</v>
      </c>
      <c r="I7" s="28">
        <v>-298</v>
      </c>
      <c r="J7" s="28">
        <v>-84</v>
      </c>
      <c r="K7" s="28">
        <v>-120</v>
      </c>
      <c r="L7" s="28">
        <v>-77</v>
      </c>
      <c r="M7" s="28">
        <v>-38</v>
      </c>
      <c r="N7" s="29">
        <f t="shared" ref="N7:N49" si="0">SUM(B7:M7)</f>
        <v>-733</v>
      </c>
      <c r="P7" s="34"/>
    </row>
    <row r="8" spans="1:28" s="21" customFormat="1" ht="21" customHeight="1" x14ac:dyDescent="0.2">
      <c r="A8" s="26" t="s">
        <v>3</v>
      </c>
      <c r="B8" s="27">
        <v>393</v>
      </c>
      <c r="C8" s="28">
        <v>453</v>
      </c>
      <c r="D8" s="28">
        <v>-49</v>
      </c>
      <c r="E8" s="28">
        <v>-252</v>
      </c>
      <c r="F8" s="28">
        <v>-159</v>
      </c>
      <c r="G8" s="28">
        <v>18</v>
      </c>
      <c r="H8" s="28">
        <v>534</v>
      </c>
      <c r="I8" s="28">
        <v>-597</v>
      </c>
      <c r="J8" s="28">
        <v>82</v>
      </c>
      <c r="K8" s="28">
        <v>19</v>
      </c>
      <c r="L8" s="28">
        <v>509</v>
      </c>
      <c r="M8" s="28">
        <v>-911</v>
      </c>
      <c r="N8" s="29">
        <f t="shared" si="0"/>
        <v>40</v>
      </c>
      <c r="P8" s="34"/>
    </row>
    <row r="9" spans="1:28" s="21" customFormat="1" ht="21" customHeight="1" x14ac:dyDescent="0.2">
      <c r="A9" s="26" t="s">
        <v>4</v>
      </c>
      <c r="B9" s="27">
        <v>-41</v>
      </c>
      <c r="C9" s="28">
        <v>141</v>
      </c>
      <c r="D9" s="28">
        <v>-115</v>
      </c>
      <c r="E9" s="28">
        <v>195</v>
      </c>
      <c r="F9" s="28">
        <v>124</v>
      </c>
      <c r="G9" s="28">
        <v>-244</v>
      </c>
      <c r="H9" s="28">
        <v>92</v>
      </c>
      <c r="I9" s="28">
        <v>-129</v>
      </c>
      <c r="J9" s="28">
        <v>-51</v>
      </c>
      <c r="K9" s="28">
        <v>3</v>
      </c>
      <c r="L9" s="28">
        <v>-51</v>
      </c>
      <c r="M9" s="28">
        <v>-88</v>
      </c>
      <c r="N9" s="29">
        <f t="shared" si="0"/>
        <v>-164</v>
      </c>
      <c r="P9" s="34"/>
    </row>
    <row r="10" spans="1:28" s="21" customFormat="1" ht="21" customHeight="1" x14ac:dyDescent="0.2">
      <c r="A10" s="26" t="s">
        <v>5</v>
      </c>
      <c r="B10" s="27">
        <v>12</v>
      </c>
      <c r="C10" s="28">
        <v>182</v>
      </c>
      <c r="D10" s="28">
        <v>197</v>
      </c>
      <c r="E10" s="28">
        <v>195</v>
      </c>
      <c r="F10" s="28">
        <v>181</v>
      </c>
      <c r="G10" s="28">
        <v>81</v>
      </c>
      <c r="H10" s="28">
        <v>80</v>
      </c>
      <c r="I10" s="28">
        <v>170</v>
      </c>
      <c r="J10" s="28">
        <v>35</v>
      </c>
      <c r="K10" s="28">
        <v>126</v>
      </c>
      <c r="L10" s="28">
        <v>31</v>
      </c>
      <c r="M10" s="28">
        <v>66</v>
      </c>
      <c r="N10" s="29">
        <f t="shared" si="0"/>
        <v>1356</v>
      </c>
      <c r="P10" s="34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</row>
    <row r="12" spans="1:28" s="31" customFormat="1" ht="21" customHeight="1" x14ac:dyDescent="0.2">
      <c r="A12" s="22" t="s">
        <v>7</v>
      </c>
      <c r="B12" s="24">
        <v>5494</v>
      </c>
      <c r="C12" s="24">
        <v>4662</v>
      </c>
      <c r="D12" s="24">
        <v>5586</v>
      </c>
      <c r="E12" s="24">
        <v>5654</v>
      </c>
      <c r="F12" s="24">
        <v>5435</v>
      </c>
      <c r="G12" s="24">
        <v>5381</v>
      </c>
      <c r="H12" s="24">
        <v>5929</v>
      </c>
      <c r="I12" s="24">
        <v>6071</v>
      </c>
      <c r="J12" s="24">
        <v>5795</v>
      </c>
      <c r="K12" s="24">
        <v>5520</v>
      </c>
      <c r="L12" s="24">
        <v>5342</v>
      </c>
      <c r="M12" s="24">
        <v>5956</v>
      </c>
      <c r="N12" s="25">
        <f>SUM(B12:M12)</f>
        <v>66825</v>
      </c>
      <c r="P12" s="34"/>
    </row>
    <row r="13" spans="1:28" s="21" customFormat="1" ht="21" customHeight="1" x14ac:dyDescent="0.2">
      <c r="A13" s="26" t="s">
        <v>12</v>
      </c>
      <c r="B13" s="27">
        <v>5493</v>
      </c>
      <c r="C13" s="28">
        <v>4657</v>
      </c>
      <c r="D13" s="28">
        <v>5422</v>
      </c>
      <c r="E13" s="28">
        <v>5585</v>
      </c>
      <c r="F13" s="28">
        <v>5301</v>
      </c>
      <c r="G13" s="28">
        <v>5098</v>
      </c>
      <c r="H13" s="28">
        <v>5925</v>
      </c>
      <c r="I13" s="28">
        <v>6070</v>
      </c>
      <c r="J13" s="28">
        <v>5793</v>
      </c>
      <c r="K13" s="28">
        <v>5517</v>
      </c>
      <c r="L13" s="28">
        <v>5337</v>
      </c>
      <c r="M13" s="28">
        <v>5840</v>
      </c>
      <c r="N13" s="29">
        <f t="shared" si="0"/>
        <v>66038</v>
      </c>
      <c r="P13" s="34"/>
    </row>
    <row r="14" spans="1:28" s="21" customFormat="1" ht="21" customHeight="1" x14ac:dyDescent="0.2">
      <c r="A14" s="26" t="s">
        <v>8</v>
      </c>
      <c r="B14" s="27">
        <v>104</v>
      </c>
      <c r="C14" s="28">
        <v>89</v>
      </c>
      <c r="D14" s="28">
        <v>41.640999999999622</v>
      </c>
      <c r="E14" s="28">
        <v>44</v>
      </c>
      <c r="F14" s="28">
        <v>36.251000000000204</v>
      </c>
      <c r="G14" s="28">
        <v>92.005999999999403</v>
      </c>
      <c r="H14" s="28">
        <v>94.537000000000262</v>
      </c>
      <c r="I14" s="28">
        <v>116.12500000000091</v>
      </c>
      <c r="J14" s="28">
        <v>92</v>
      </c>
      <c r="K14" s="28">
        <v>100.1969999999983</v>
      </c>
      <c r="L14" s="28">
        <v>88</v>
      </c>
      <c r="M14" s="28">
        <v>30.075999999999112</v>
      </c>
      <c r="N14" s="29">
        <f t="shared" si="0"/>
        <v>927.83299999999781</v>
      </c>
      <c r="P14" s="36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M15" si="1">SUM(B16:B49)</f>
        <v>5390</v>
      </c>
      <c r="C15" s="24">
        <f t="shared" si="1"/>
        <v>4573</v>
      </c>
      <c r="D15" s="24">
        <f t="shared" si="1"/>
        <v>5544.3590000000004</v>
      </c>
      <c r="E15" s="24">
        <f t="shared" si="1"/>
        <v>5610</v>
      </c>
      <c r="F15" s="24">
        <f t="shared" si="1"/>
        <v>5398.7489999999998</v>
      </c>
      <c r="G15" s="24">
        <f t="shared" si="1"/>
        <v>5288.9940000000006</v>
      </c>
      <c r="H15" s="24">
        <f t="shared" si="1"/>
        <v>5834.4629999999997</v>
      </c>
      <c r="I15" s="24">
        <f t="shared" si="1"/>
        <v>5954.8749999999991</v>
      </c>
      <c r="J15" s="24">
        <f t="shared" si="1"/>
        <v>5703</v>
      </c>
      <c r="K15" s="24">
        <f t="shared" si="1"/>
        <v>5419.8030000000017</v>
      </c>
      <c r="L15" s="24">
        <f t="shared" si="1"/>
        <v>5254</v>
      </c>
      <c r="M15" s="24">
        <f t="shared" si="1"/>
        <v>5925.9240000000009</v>
      </c>
      <c r="N15" s="25">
        <f t="shared" si="0"/>
        <v>65897.167000000001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169.56299999999999</v>
      </c>
      <c r="C16" s="2">
        <v>173</v>
      </c>
      <c r="D16" s="2">
        <v>184.482</v>
      </c>
      <c r="E16" s="2">
        <v>196.57</v>
      </c>
      <c r="F16" s="2">
        <v>203.36199999999999</v>
      </c>
      <c r="G16" s="2">
        <v>196.148</v>
      </c>
      <c r="H16" s="2">
        <v>231</v>
      </c>
      <c r="I16" s="2">
        <v>239</v>
      </c>
      <c r="J16" s="2">
        <v>192.34399999999999</v>
      </c>
      <c r="K16" s="2">
        <v>205</v>
      </c>
      <c r="L16" s="2">
        <v>170</v>
      </c>
      <c r="M16" s="2">
        <v>185.83</v>
      </c>
      <c r="N16" s="4">
        <f t="shared" si="0"/>
        <v>2346.299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108.97199999999999</v>
      </c>
      <c r="C18" s="2">
        <v>95.168000000000006</v>
      </c>
      <c r="D18" s="2">
        <v>120.434</v>
      </c>
      <c r="E18" s="2">
        <v>102.57299999999999</v>
      </c>
      <c r="F18" s="2">
        <v>87.575999999999993</v>
      </c>
      <c r="G18" s="2">
        <v>89.978999999999999</v>
      </c>
      <c r="H18" s="2">
        <v>87.489000000000004</v>
      </c>
      <c r="I18" s="2">
        <v>91.986999999999995</v>
      </c>
      <c r="J18" s="2">
        <v>81.08</v>
      </c>
      <c r="K18" s="2">
        <v>85.022999999999996</v>
      </c>
      <c r="L18" s="2">
        <v>100.184</v>
      </c>
      <c r="M18" s="2">
        <v>102.268</v>
      </c>
      <c r="N18" s="4">
        <f t="shared" si="0"/>
        <v>1152.7330000000002</v>
      </c>
    </row>
    <row r="19" spans="1:29" ht="16.5" customHeight="1" x14ac:dyDescent="0.2">
      <c r="A19" s="9" t="s">
        <v>17</v>
      </c>
      <c r="B19" s="3">
        <v>18.028000000000006</v>
      </c>
      <c r="C19" s="2">
        <v>7.8319999999999936</v>
      </c>
      <c r="D19" s="2">
        <v>39.566000000000003</v>
      </c>
      <c r="E19" s="2">
        <v>1.4270000000000067</v>
      </c>
      <c r="F19" s="2">
        <v>2.4240000000000066</v>
      </c>
      <c r="G19" s="2">
        <v>14.021000000000001</v>
      </c>
      <c r="H19" s="2">
        <v>12.510999999999996</v>
      </c>
      <c r="I19" s="2">
        <v>27.013000000000005</v>
      </c>
      <c r="J19" s="2">
        <v>33.92</v>
      </c>
      <c r="K19" s="2">
        <v>27.977000000000004</v>
      </c>
      <c r="L19" s="2">
        <v>20.816000000000003</v>
      </c>
      <c r="M19" s="2">
        <v>42.731999999999999</v>
      </c>
      <c r="N19" s="4">
        <f t="shared" si="0"/>
        <v>248.26700000000002</v>
      </c>
    </row>
    <row r="20" spans="1:29" ht="16.5" customHeight="1" x14ac:dyDescent="0.2">
      <c r="A20" s="9" t="s">
        <v>18</v>
      </c>
      <c r="B20" s="3">
        <v>107</v>
      </c>
      <c r="C20" s="2">
        <v>91</v>
      </c>
      <c r="D20" s="2">
        <v>113</v>
      </c>
      <c r="E20" s="2">
        <v>113</v>
      </c>
      <c r="F20" s="2">
        <v>111</v>
      </c>
      <c r="G20" s="2">
        <v>91</v>
      </c>
      <c r="H20" s="2">
        <v>111</v>
      </c>
      <c r="I20" s="2">
        <v>112</v>
      </c>
      <c r="J20" s="2">
        <v>95</v>
      </c>
      <c r="K20" s="2">
        <v>100</v>
      </c>
      <c r="L20" s="2">
        <v>135</v>
      </c>
      <c r="M20" s="2">
        <v>189</v>
      </c>
      <c r="N20" s="4">
        <f t="shared" si="0"/>
        <v>1368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29" ht="16.5" customHeight="1" x14ac:dyDescent="0.2">
      <c r="A22" s="9" t="s">
        <v>20</v>
      </c>
      <c r="B22" s="3">
        <v>105.45699999999999</v>
      </c>
      <c r="C22" s="2">
        <v>76.543999999999997</v>
      </c>
      <c r="D22" s="2">
        <v>82.683999999999997</v>
      </c>
      <c r="E22" s="2">
        <v>88.902000000000001</v>
      </c>
      <c r="F22" s="2">
        <v>83.977999999999994</v>
      </c>
      <c r="G22" s="2">
        <v>87.866</v>
      </c>
      <c r="H22" s="2">
        <v>88.156999999999996</v>
      </c>
      <c r="I22" s="2">
        <v>98.400999999999996</v>
      </c>
      <c r="J22" s="2">
        <v>99.332999999999998</v>
      </c>
      <c r="K22" s="2">
        <v>20.893999999999998</v>
      </c>
      <c r="L22" s="2">
        <v>0</v>
      </c>
      <c r="M22" s="2">
        <v>46.189</v>
      </c>
      <c r="N22" s="4">
        <f t="shared" si="0"/>
        <v>878.40499999999986</v>
      </c>
    </row>
    <row r="23" spans="1:29" ht="16.5" customHeight="1" x14ac:dyDescent="0.2">
      <c r="A23" s="9" t="s">
        <v>21</v>
      </c>
      <c r="B23" s="3">
        <v>1.3220000000000001</v>
      </c>
      <c r="C23" s="2">
        <v>6.6040000000000001</v>
      </c>
      <c r="D23" s="2">
        <v>10.029999999999999</v>
      </c>
      <c r="E23" s="2">
        <v>6.2889999999999997</v>
      </c>
      <c r="F23" s="2">
        <v>14.32</v>
      </c>
      <c r="G23" s="2">
        <v>7.8739999999999997</v>
      </c>
      <c r="H23" s="2">
        <v>10.994</v>
      </c>
      <c r="I23" s="2">
        <v>3.8690000000000002</v>
      </c>
      <c r="J23" s="2">
        <v>4.9000000000000002E-2</v>
      </c>
      <c r="K23" s="2">
        <v>3.653</v>
      </c>
      <c r="L23" s="2">
        <v>4.9169999999999998</v>
      </c>
      <c r="M23" s="2">
        <v>1.3959999999999999</v>
      </c>
      <c r="N23" s="4">
        <f t="shared" si="0"/>
        <v>71.317000000000007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29" ht="16.5" customHeight="1" x14ac:dyDescent="0.2">
      <c r="A25" s="9" t="s">
        <v>23</v>
      </c>
      <c r="B25" s="3">
        <v>637.24299999999994</v>
      </c>
      <c r="C25" s="2">
        <v>502.38599999999997</v>
      </c>
      <c r="D25" s="2">
        <v>652.85900000000015</v>
      </c>
      <c r="E25" s="2">
        <v>712.28100000000006</v>
      </c>
      <c r="F25" s="2">
        <v>699.79600000000005</v>
      </c>
      <c r="G25" s="2">
        <v>682.72</v>
      </c>
      <c r="H25" s="2">
        <v>670.02099999999996</v>
      </c>
      <c r="I25" s="2">
        <v>722.45800000000008</v>
      </c>
      <c r="J25" s="2">
        <v>755.24399999999991</v>
      </c>
      <c r="K25" s="2">
        <v>689.07199999999989</v>
      </c>
      <c r="L25" s="2">
        <v>686.59699999999998</v>
      </c>
      <c r="M25" s="2">
        <v>740.13499999999999</v>
      </c>
      <c r="N25" s="4">
        <f t="shared" si="0"/>
        <v>8150.8120000000008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29" ht="16.5" customHeight="1" x14ac:dyDescent="0.2">
      <c r="A28" s="9" t="s">
        <v>26</v>
      </c>
      <c r="B28" s="3">
        <v>12.943</v>
      </c>
      <c r="C28" s="2">
        <v>6.04</v>
      </c>
      <c r="D28" s="2">
        <v>18.042999999999999</v>
      </c>
      <c r="E28" s="2">
        <v>17.827000000000002</v>
      </c>
      <c r="F28" s="2">
        <v>19.614999999999998</v>
      </c>
      <c r="G28" s="2">
        <v>24.428999999999998</v>
      </c>
      <c r="H28" s="2">
        <v>23.852</v>
      </c>
      <c r="I28" s="2">
        <v>19.146999999999998</v>
      </c>
      <c r="J28" s="2">
        <v>23.666</v>
      </c>
      <c r="K28" s="2">
        <v>8.9600000000000009</v>
      </c>
      <c r="L28" s="2">
        <v>0</v>
      </c>
      <c r="M28" s="2">
        <v>14.092000000000001</v>
      </c>
      <c r="N28" s="4">
        <f t="shared" si="0"/>
        <v>188.614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</row>
    <row r="30" spans="1:29" ht="16.5" customHeight="1" x14ac:dyDescent="0.2">
      <c r="A30" s="9" t="s">
        <v>28</v>
      </c>
      <c r="B30" s="3">
        <v>736.96199999999999</v>
      </c>
      <c r="C30" s="2">
        <v>608.28399999999999</v>
      </c>
      <c r="D30" s="2">
        <v>784.99</v>
      </c>
      <c r="E30" s="2">
        <v>806.06500000000005</v>
      </c>
      <c r="F30" s="2">
        <v>705.46400000000006</v>
      </c>
      <c r="G30" s="2">
        <v>707.52</v>
      </c>
      <c r="H30" s="2">
        <v>840.13400000000001</v>
      </c>
      <c r="I30" s="2">
        <v>800</v>
      </c>
      <c r="J30" s="2">
        <v>799</v>
      </c>
      <c r="K30" s="2">
        <v>811.38300000000004</v>
      </c>
      <c r="L30" s="2">
        <v>818.53599999999994</v>
      </c>
      <c r="M30" s="2">
        <v>882</v>
      </c>
      <c r="N30" s="4">
        <f t="shared" si="0"/>
        <v>9300.3379999999997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265.71499999999997</v>
      </c>
      <c r="C32" s="2">
        <v>269.60199999999998</v>
      </c>
      <c r="D32" s="2">
        <v>287.43299999999999</v>
      </c>
      <c r="E32" s="2">
        <v>267.36599999999999</v>
      </c>
      <c r="F32" s="2">
        <v>282.79199999999997</v>
      </c>
      <c r="G32" s="2">
        <v>269.78399999999999</v>
      </c>
      <c r="H32" s="2">
        <v>275.39699999999999</v>
      </c>
      <c r="I32" s="2">
        <v>274.93400000000003</v>
      </c>
      <c r="J32" s="2">
        <v>235.79499999999999</v>
      </c>
      <c r="K32" s="2">
        <v>176.505</v>
      </c>
      <c r="L32" s="2">
        <v>116.873</v>
      </c>
      <c r="M32" s="2">
        <v>233.96700000000001</v>
      </c>
      <c r="N32" s="4">
        <f t="shared" si="0"/>
        <v>2956.1630000000005</v>
      </c>
    </row>
    <row r="33" spans="1:14" ht="16.5" customHeight="1" x14ac:dyDescent="0.2">
      <c r="A33" s="9" t="s">
        <v>31</v>
      </c>
      <c r="B33" s="3">
        <v>36.756</v>
      </c>
      <c r="C33" s="2">
        <v>19.677</v>
      </c>
      <c r="D33" s="2">
        <v>23.338000000000001</v>
      </c>
      <c r="E33" s="2">
        <v>31.372</v>
      </c>
      <c r="F33" s="2">
        <v>17.709</v>
      </c>
      <c r="G33" s="2">
        <v>20.635000000000002</v>
      </c>
      <c r="H33" s="2">
        <v>30.863</v>
      </c>
      <c r="I33" s="2">
        <v>21.013000000000002</v>
      </c>
      <c r="J33" s="2">
        <v>52.29</v>
      </c>
      <c r="K33" s="2">
        <v>20.98</v>
      </c>
      <c r="L33" s="2">
        <v>7.1970000000000001</v>
      </c>
      <c r="M33" s="2">
        <v>31.837</v>
      </c>
      <c r="N33" s="4">
        <f t="shared" si="0"/>
        <v>313.66699999999997</v>
      </c>
    </row>
    <row r="34" spans="1:14" ht="16.5" customHeight="1" x14ac:dyDescent="0.2">
      <c r="A34" s="9" t="s">
        <v>32</v>
      </c>
      <c r="B34" s="3">
        <v>31.52</v>
      </c>
      <c r="C34" s="2">
        <v>0</v>
      </c>
      <c r="D34" s="2">
        <v>5.9829999999999997</v>
      </c>
      <c r="E34" s="2">
        <v>26.568000000000001</v>
      </c>
      <c r="F34" s="2">
        <v>0</v>
      </c>
      <c r="G34" s="2">
        <v>10.56</v>
      </c>
      <c r="H34" s="2">
        <v>0</v>
      </c>
      <c r="I34" s="2">
        <v>0</v>
      </c>
      <c r="J34" s="2">
        <v>3.5710000000000002</v>
      </c>
      <c r="K34" s="2">
        <v>7.6180000000000003</v>
      </c>
      <c r="L34" s="2">
        <v>0</v>
      </c>
      <c r="M34" s="2">
        <v>35.991999999999997</v>
      </c>
      <c r="N34" s="4">
        <f t="shared" si="0"/>
        <v>121.81199999999998</v>
      </c>
    </row>
    <row r="35" spans="1:14" ht="16.5" customHeight="1" x14ac:dyDescent="0.2">
      <c r="A35" s="9" t="s">
        <v>33</v>
      </c>
      <c r="B35" s="3">
        <v>17.077999999999999</v>
      </c>
      <c r="C35" s="2">
        <v>40.863999999999997</v>
      </c>
      <c r="D35" s="2">
        <v>47.033999999999999</v>
      </c>
      <c r="E35" s="2">
        <v>22.199000000000002</v>
      </c>
      <c r="F35" s="2">
        <v>50.241999999999997</v>
      </c>
      <c r="G35" s="2">
        <v>30.459</v>
      </c>
      <c r="H35" s="2">
        <v>53.725000000000001</v>
      </c>
      <c r="I35" s="2">
        <v>46.292000000000002</v>
      </c>
      <c r="J35" s="2">
        <v>36.936</v>
      </c>
      <c r="K35" s="2">
        <v>4.9349999999999996</v>
      </c>
      <c r="L35" s="2">
        <v>20.716999999999999</v>
      </c>
      <c r="M35" s="2">
        <v>7.1580000000000004</v>
      </c>
      <c r="N35" s="4">
        <f t="shared" si="0"/>
        <v>377.63900000000001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1932.646</v>
      </c>
      <c r="C37" s="2">
        <v>1638.797</v>
      </c>
      <c r="D37" s="2">
        <v>1978.645</v>
      </c>
      <c r="E37" s="2">
        <v>1981.3119999999999</v>
      </c>
      <c r="F37" s="2">
        <v>1876.7860000000001</v>
      </c>
      <c r="G37" s="2">
        <v>1843.154</v>
      </c>
      <c r="H37" s="2">
        <v>2092.0389999999998</v>
      </c>
      <c r="I37" s="2">
        <v>1999.6949999999999</v>
      </c>
      <c r="J37" s="2">
        <v>1983.3110000000001</v>
      </c>
      <c r="K37" s="2">
        <v>2034.9490000000001</v>
      </c>
      <c r="L37" s="2">
        <v>1900.086</v>
      </c>
      <c r="M37" s="2">
        <v>2094.8759999999997</v>
      </c>
      <c r="N37" s="4">
        <f t="shared" si="0"/>
        <v>23356.296000000002</v>
      </c>
    </row>
    <row r="38" spans="1:14" ht="16.5" customHeight="1" x14ac:dyDescent="0.2">
      <c r="A38" s="9" t="s">
        <v>36</v>
      </c>
      <c r="B38" s="3">
        <v>6.2850000000000001</v>
      </c>
      <c r="C38" s="2">
        <v>3.06</v>
      </c>
      <c r="D38" s="2">
        <v>12.567</v>
      </c>
      <c r="E38" s="2">
        <v>11.183</v>
      </c>
      <c r="F38" s="2">
        <v>8.4710000000000001</v>
      </c>
      <c r="G38" s="2">
        <v>8.4079999999999995</v>
      </c>
      <c r="H38" s="2">
        <v>15.976000000000001</v>
      </c>
      <c r="I38" s="2">
        <v>16.065999999999999</v>
      </c>
      <c r="J38" s="2">
        <v>19.097000000000001</v>
      </c>
      <c r="K38" s="2">
        <v>9.0129999999999999</v>
      </c>
      <c r="L38" s="2">
        <v>18.126999999999999</v>
      </c>
      <c r="M38" s="2">
        <v>18.170000000000002</v>
      </c>
      <c r="N38" s="4">
        <f t="shared" si="0"/>
        <v>146.423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2.1000000000000001E-2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2.1000000000000001E-2</v>
      </c>
    </row>
    <row r="41" spans="1:14" ht="16.5" customHeight="1" x14ac:dyDescent="0.2">
      <c r="A41" s="9" t="s">
        <v>39</v>
      </c>
      <c r="B41" s="3">
        <v>2.9000000000000001E-2</v>
      </c>
      <c r="C41" s="2">
        <v>4.274</v>
      </c>
      <c r="D41" s="2">
        <v>3.1E-2</v>
      </c>
      <c r="E41" s="2">
        <v>2.8000000000000001E-2</v>
      </c>
      <c r="F41" s="2">
        <v>1.867</v>
      </c>
      <c r="G41" s="2">
        <v>5.0179999999999998</v>
      </c>
      <c r="H41" s="2">
        <v>6.899</v>
      </c>
      <c r="I41" s="2">
        <v>7.1790000000000003</v>
      </c>
      <c r="J41" s="2">
        <v>7.8819999999999997</v>
      </c>
      <c r="K41" s="2">
        <v>1.7290000000000001</v>
      </c>
      <c r="L41" s="2">
        <v>0.03</v>
      </c>
      <c r="M41" s="2">
        <v>4.3390000000000004</v>
      </c>
      <c r="N41" s="4">
        <f t="shared" si="0"/>
        <v>39.305</v>
      </c>
    </row>
    <row r="42" spans="1:14" ht="16.5" customHeight="1" x14ac:dyDescent="0.2">
      <c r="A42" s="9" t="s">
        <v>57</v>
      </c>
      <c r="B42" s="3">
        <v>1.7789999999999999</v>
      </c>
      <c r="C42" s="2">
        <v>1E-3</v>
      </c>
      <c r="D42" s="2">
        <v>1.7000000000000001E-2</v>
      </c>
      <c r="E42" s="2">
        <v>0</v>
      </c>
      <c r="F42" s="2">
        <v>8.0000000000000002E-3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1.8049999999999997</v>
      </c>
    </row>
    <row r="43" spans="1:14" ht="16.5" customHeight="1" x14ac:dyDescent="0.2">
      <c r="A43" s="9" t="s">
        <v>40</v>
      </c>
      <c r="B43" s="3">
        <v>463.76100000000002</v>
      </c>
      <c r="C43" s="2">
        <v>408.30200000000002</v>
      </c>
      <c r="D43" s="2">
        <v>495.92500000000001</v>
      </c>
      <c r="E43" s="2">
        <v>500.12200000000001</v>
      </c>
      <c r="F43" s="2">
        <v>443.99599999999998</v>
      </c>
      <c r="G43" s="2">
        <v>456.74200000000002</v>
      </c>
      <c r="H43" s="2">
        <v>482.40600000000001</v>
      </c>
      <c r="I43" s="2">
        <v>484.82100000000003</v>
      </c>
      <c r="J43" s="2">
        <v>474.23700000000002</v>
      </c>
      <c r="K43" s="2">
        <v>346.11200000000002</v>
      </c>
      <c r="L43" s="2">
        <v>421.73599999999999</v>
      </c>
      <c r="M43" s="2">
        <v>513.077</v>
      </c>
      <c r="N43" s="4">
        <f t="shared" si="0"/>
        <v>5491.2370000000001</v>
      </c>
    </row>
    <row r="44" spans="1:14" ht="16.5" customHeight="1" x14ac:dyDescent="0.2">
      <c r="A44" s="9" t="s">
        <v>41</v>
      </c>
      <c r="B44" s="3">
        <v>30.919</v>
      </c>
      <c r="C44" s="2">
        <v>20.977</v>
      </c>
      <c r="D44" s="2">
        <v>35.148000000000003</v>
      </c>
      <c r="E44" s="2">
        <v>33.402999999999999</v>
      </c>
      <c r="F44" s="2">
        <v>34.320999999999998</v>
      </c>
      <c r="G44" s="2">
        <v>32.75</v>
      </c>
      <c r="H44" s="2">
        <v>31.553999999999998</v>
      </c>
      <c r="I44" s="2">
        <v>35.963000000000001</v>
      </c>
      <c r="J44" s="2">
        <v>34.368000000000002</v>
      </c>
      <c r="K44" s="2">
        <v>34.804000000000002</v>
      </c>
      <c r="L44" s="2">
        <v>38.256999999999998</v>
      </c>
      <c r="M44" s="2">
        <v>36.762999999999998</v>
      </c>
      <c r="N44" s="4">
        <f t="shared" si="0"/>
        <v>399.22699999999998</v>
      </c>
    </row>
    <row r="45" spans="1:14" ht="16.5" customHeight="1" x14ac:dyDescent="0.2">
      <c r="A45" s="9" t="s">
        <v>42</v>
      </c>
      <c r="B45" s="3">
        <v>152.43899999999999</v>
      </c>
      <c r="C45" s="2">
        <v>124.024</v>
      </c>
      <c r="D45" s="2">
        <v>207.351</v>
      </c>
      <c r="E45" s="2">
        <v>174.75800000000001</v>
      </c>
      <c r="F45" s="2">
        <v>246.02099999999999</v>
      </c>
      <c r="G45" s="2">
        <v>241.05099999999999</v>
      </c>
      <c r="H45" s="2">
        <v>259.24</v>
      </c>
      <c r="I45" s="2">
        <v>206.446</v>
      </c>
      <c r="J45" s="2">
        <v>262.89</v>
      </c>
      <c r="K45" s="2">
        <v>229.167</v>
      </c>
      <c r="L45" s="2">
        <v>201.03299999999999</v>
      </c>
      <c r="M45" s="2">
        <v>178.154</v>
      </c>
      <c r="N45" s="4">
        <f t="shared" si="0"/>
        <v>2482.5739999999996</v>
      </c>
    </row>
    <row r="46" spans="1:14" ht="16.5" customHeight="1" x14ac:dyDescent="0.2">
      <c r="A46" s="9" t="s">
        <v>43</v>
      </c>
      <c r="B46" s="3">
        <v>19.428999999999998</v>
      </c>
      <c r="C46" s="2">
        <v>20.184999999999999</v>
      </c>
      <c r="D46" s="2">
        <v>22.567</v>
      </c>
      <c r="E46" s="2">
        <v>18.367000000000001</v>
      </c>
      <c r="F46" s="2">
        <v>20.568999999999999</v>
      </c>
      <c r="G46" s="2">
        <v>12.042999999999999</v>
      </c>
      <c r="H46" s="2">
        <v>24.516999999999999</v>
      </c>
      <c r="I46" s="2">
        <v>20.315000000000001</v>
      </c>
      <c r="J46" s="2">
        <v>25.998000000000001</v>
      </c>
      <c r="K46" s="2">
        <v>24.864999999999998</v>
      </c>
      <c r="L46" s="2">
        <v>23.623000000000001</v>
      </c>
      <c r="M46" s="2">
        <v>22.577000000000002</v>
      </c>
      <c r="N46" s="4">
        <f t="shared" si="0"/>
        <v>255.05499999999998</v>
      </c>
    </row>
    <row r="47" spans="1:14" ht="16.5" customHeight="1" x14ac:dyDescent="0.2">
      <c r="A47" s="9" t="s">
        <v>44</v>
      </c>
      <c r="B47" s="3">
        <v>8.7260000000000009</v>
      </c>
      <c r="C47" s="2">
        <v>5.2560000000000002</v>
      </c>
      <c r="D47" s="2">
        <v>7.57</v>
      </c>
      <c r="E47" s="2">
        <v>6.5149999999999997</v>
      </c>
      <c r="F47" s="2">
        <v>7.6710000000000003</v>
      </c>
      <c r="G47" s="2">
        <v>7.2009999999999996</v>
      </c>
      <c r="H47" s="2">
        <v>7.4279999999999999</v>
      </c>
      <c r="I47" s="2">
        <v>7.0439999999999996</v>
      </c>
      <c r="J47" s="2">
        <v>8.2989999999999995</v>
      </c>
      <c r="K47" s="2">
        <v>7.859</v>
      </c>
      <c r="L47" s="2">
        <v>8.0649999999999995</v>
      </c>
      <c r="M47" s="2">
        <v>6.6870000000000003</v>
      </c>
      <c r="N47" s="4">
        <f t="shared" si="0"/>
        <v>88.320999999999984</v>
      </c>
    </row>
    <row r="48" spans="1:14" ht="16.5" customHeight="1" x14ac:dyDescent="0.2">
      <c r="A48" s="9" t="s">
        <v>45</v>
      </c>
      <c r="B48" s="3">
        <v>307.30399999999997</v>
      </c>
      <c r="C48" s="2">
        <v>244.03</v>
      </c>
      <c r="D48" s="2">
        <v>331.298</v>
      </c>
      <c r="E48" s="2">
        <v>330.459</v>
      </c>
      <c r="F48" s="2">
        <v>336.56700000000001</v>
      </c>
      <c r="G48" s="2">
        <v>307.13600000000002</v>
      </c>
      <c r="H48" s="2">
        <v>323</v>
      </c>
      <c r="I48" s="2">
        <v>388</v>
      </c>
      <c r="J48" s="2">
        <v>299.65300000000002</v>
      </c>
      <c r="K48" s="2">
        <v>319</v>
      </c>
      <c r="L48" s="2">
        <v>318</v>
      </c>
      <c r="M48" s="2">
        <v>318.86599999999999</v>
      </c>
      <c r="N48" s="4">
        <f t="shared" si="0"/>
        <v>3823.3130000000001</v>
      </c>
    </row>
    <row r="49" spans="1:14" ht="18" customHeight="1" x14ac:dyDescent="0.2">
      <c r="A49" s="10" t="s">
        <v>52</v>
      </c>
      <c r="B49" s="7">
        <v>218.12399999999889</v>
      </c>
      <c r="C49" s="5">
        <v>207.07199999999921</v>
      </c>
      <c r="D49" s="5">
        <v>83.364000000000033</v>
      </c>
      <c r="E49" s="5">
        <v>161.41399999999885</v>
      </c>
      <c r="F49" s="5">
        <v>144.19399999999996</v>
      </c>
      <c r="G49" s="5">
        <v>142.49600000000004</v>
      </c>
      <c r="H49" s="5">
        <v>156.26100000000002</v>
      </c>
      <c r="I49" s="5">
        <v>333.23200000000003</v>
      </c>
      <c r="J49" s="5">
        <v>179.03700000000026</v>
      </c>
      <c r="K49" s="5">
        <v>250.30500000000001</v>
      </c>
      <c r="L49" s="5">
        <v>244.20600000000104</v>
      </c>
      <c r="M49" s="5">
        <v>219.81899999999999</v>
      </c>
      <c r="N49" s="6">
        <f t="shared" si="0"/>
        <v>2339.5239999999981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I54"/>
      <c r="J54"/>
      <c r="K5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C239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43101</v>
      </c>
      <c r="C4" s="13">
        <v>43132</v>
      </c>
      <c r="D4" s="13">
        <v>43160</v>
      </c>
      <c r="E4" s="13">
        <v>43191</v>
      </c>
      <c r="F4" s="13">
        <v>43221</v>
      </c>
      <c r="G4" s="13">
        <v>43252</v>
      </c>
      <c r="H4" s="13">
        <v>43282</v>
      </c>
      <c r="I4" s="14">
        <v>43313</v>
      </c>
      <c r="J4" s="14">
        <v>43344</v>
      </c>
      <c r="K4" s="14">
        <v>43374</v>
      </c>
      <c r="L4" s="13">
        <v>43405</v>
      </c>
      <c r="M4" s="13">
        <v>43435</v>
      </c>
      <c r="N4" s="15" t="s">
        <v>51</v>
      </c>
    </row>
    <row r="5" spans="1:28" s="21" customFormat="1" ht="21" customHeight="1" x14ac:dyDescent="0.2">
      <c r="A5" s="17" t="s">
        <v>0</v>
      </c>
      <c r="B5" s="18">
        <v>9.6199999999999992</v>
      </c>
      <c r="C5" s="19">
        <v>8.2129999999999992</v>
      </c>
      <c r="D5" s="19">
        <v>7.133</v>
      </c>
      <c r="E5" s="19">
        <v>8.2769999999999992</v>
      </c>
      <c r="F5" s="19">
        <v>7.8049999999999997</v>
      </c>
      <c r="G5" s="19">
        <v>7.5060000000000002</v>
      </c>
      <c r="H5" s="19">
        <v>7.6079999999999997</v>
      </c>
      <c r="I5" s="45">
        <v>6.4829999999999997</v>
      </c>
      <c r="J5" s="19">
        <v>6.8150000000000004</v>
      </c>
      <c r="K5" s="19">
        <v>5.1920000000000002</v>
      </c>
      <c r="L5" s="19">
        <v>6.7889999999999997</v>
      </c>
      <c r="M5" s="19">
        <v>5.55</v>
      </c>
      <c r="N5" s="20">
        <f>SUM(B5:M5)</f>
        <v>86.990999999999985</v>
      </c>
      <c r="P5" s="34"/>
    </row>
    <row r="6" spans="1:28" s="21" customFormat="1" ht="21" customHeight="1" x14ac:dyDescent="0.2">
      <c r="A6" s="22" t="s">
        <v>1</v>
      </c>
      <c r="B6" s="23">
        <v>6511</v>
      </c>
      <c r="C6" s="24">
        <v>5140</v>
      </c>
      <c r="D6" s="24">
        <v>5326</v>
      </c>
      <c r="E6" s="24">
        <v>6047</v>
      </c>
      <c r="F6" s="24">
        <v>5481</v>
      </c>
      <c r="G6" s="24">
        <v>4558</v>
      </c>
      <c r="H6" s="24">
        <v>5945</v>
      </c>
      <c r="I6" s="24">
        <v>5565</v>
      </c>
      <c r="J6" s="24">
        <v>5964</v>
      </c>
      <c r="K6" s="24">
        <v>6059</v>
      </c>
      <c r="L6" s="24">
        <v>5556</v>
      </c>
      <c r="M6" s="24">
        <v>5434</v>
      </c>
      <c r="N6" s="25">
        <f>SUM(B6:M6)</f>
        <v>67586</v>
      </c>
      <c r="P6" s="34"/>
    </row>
    <row r="7" spans="1:28" s="21" customFormat="1" ht="21" customHeight="1" x14ac:dyDescent="0.2">
      <c r="A7" s="26" t="s">
        <v>2</v>
      </c>
      <c r="B7" s="27">
        <v>-21</v>
      </c>
      <c r="C7" s="28">
        <v>-48</v>
      </c>
      <c r="D7" s="28">
        <v>-23</v>
      </c>
      <c r="E7" s="28">
        <v>31</v>
      </c>
      <c r="F7" s="28">
        <v>-29</v>
      </c>
      <c r="G7" s="28">
        <v>-77</v>
      </c>
      <c r="H7" s="28">
        <v>79</v>
      </c>
      <c r="I7" s="28">
        <v>-135</v>
      </c>
      <c r="J7" s="28">
        <v>-165</v>
      </c>
      <c r="K7" s="28">
        <v>106</v>
      </c>
      <c r="L7" s="28">
        <v>11</v>
      </c>
      <c r="M7" s="28">
        <v>-120</v>
      </c>
      <c r="N7" s="29">
        <f t="shared" ref="N7:N49" si="0">SUM(B7:M7)</f>
        <v>-391</v>
      </c>
      <c r="P7" s="34"/>
    </row>
    <row r="8" spans="1:28" s="21" customFormat="1" ht="21" customHeight="1" x14ac:dyDescent="0.2">
      <c r="A8" s="26" t="s">
        <v>3</v>
      </c>
      <c r="B8" s="27">
        <v>508</v>
      </c>
      <c r="C8" s="28">
        <v>239</v>
      </c>
      <c r="D8" s="28">
        <v>-298</v>
      </c>
      <c r="E8" s="28">
        <v>366</v>
      </c>
      <c r="F8" s="28">
        <v>-266</v>
      </c>
      <c r="G8" s="28">
        <v>-427</v>
      </c>
      <c r="H8" s="28">
        <v>422</v>
      </c>
      <c r="I8" s="28">
        <v>-657</v>
      </c>
      <c r="J8" s="28">
        <v>285</v>
      </c>
      <c r="K8" s="28">
        <v>11</v>
      </c>
      <c r="L8" s="28">
        <v>-116</v>
      </c>
      <c r="M8" s="28">
        <v>-287</v>
      </c>
      <c r="N8" s="29">
        <f t="shared" si="0"/>
        <v>-220</v>
      </c>
      <c r="P8" s="34"/>
    </row>
    <row r="9" spans="1:28" s="21" customFormat="1" ht="21" customHeight="1" x14ac:dyDescent="0.2">
      <c r="A9" s="26" t="s">
        <v>4</v>
      </c>
      <c r="B9" s="27">
        <v>121</v>
      </c>
      <c r="C9" s="28">
        <v>79</v>
      </c>
      <c r="D9" s="28">
        <v>21</v>
      </c>
      <c r="E9" s="28">
        <v>167</v>
      </c>
      <c r="F9" s="28">
        <v>-116</v>
      </c>
      <c r="G9" s="28">
        <v>-129</v>
      </c>
      <c r="H9" s="28">
        <v>241</v>
      </c>
      <c r="I9" s="28">
        <v>-106</v>
      </c>
      <c r="J9" s="28">
        <v>-202</v>
      </c>
      <c r="K9" s="28">
        <v>126</v>
      </c>
      <c r="L9" s="28">
        <v>92</v>
      </c>
      <c r="M9" s="28">
        <v>-383</v>
      </c>
      <c r="N9" s="29">
        <f t="shared" si="0"/>
        <v>-89</v>
      </c>
      <c r="P9" s="34"/>
    </row>
    <row r="10" spans="1:28" s="21" customFormat="1" ht="21" customHeight="1" x14ac:dyDescent="0.2">
      <c r="A10" s="26" t="s">
        <v>5</v>
      </c>
      <c r="B10" s="27">
        <v>147</v>
      </c>
      <c r="C10" s="28">
        <v>187</v>
      </c>
      <c r="D10" s="28">
        <v>45</v>
      </c>
      <c r="E10" s="28">
        <v>137</v>
      </c>
      <c r="F10" s="28">
        <v>57</v>
      </c>
      <c r="G10" s="28">
        <v>137</v>
      </c>
      <c r="H10" s="28">
        <v>164</v>
      </c>
      <c r="I10" s="28">
        <v>52</v>
      </c>
      <c r="J10" s="28">
        <v>69</v>
      </c>
      <c r="K10" s="28">
        <v>28</v>
      </c>
      <c r="L10" s="28">
        <v>86</v>
      </c>
      <c r="M10" s="28">
        <v>17</v>
      </c>
      <c r="N10" s="29">
        <f t="shared" si="0"/>
        <v>1126</v>
      </c>
      <c r="P10" s="34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</row>
    <row r="12" spans="1:28" s="31" customFormat="1" ht="21" customHeight="1" x14ac:dyDescent="0.2">
      <c r="A12" s="22" t="s">
        <v>7</v>
      </c>
      <c r="B12" s="24">
        <v>6018</v>
      </c>
      <c r="C12" s="24">
        <v>4969</v>
      </c>
      <c r="D12" s="24">
        <v>5632</v>
      </c>
      <c r="E12" s="24">
        <v>5690</v>
      </c>
      <c r="F12" s="24">
        <v>5899</v>
      </c>
      <c r="G12" s="24">
        <v>5182</v>
      </c>
      <c r="H12" s="24">
        <v>5533</v>
      </c>
      <c r="I12" s="24">
        <v>6251</v>
      </c>
      <c r="J12" s="24">
        <v>5792</v>
      </c>
      <c r="K12" s="24">
        <v>6061</v>
      </c>
      <c r="L12" s="24">
        <v>5684</v>
      </c>
      <c r="M12" s="24">
        <v>6007</v>
      </c>
      <c r="N12" s="25">
        <f>SUM(B12:M12)</f>
        <v>68718</v>
      </c>
      <c r="P12" s="34"/>
    </row>
    <row r="13" spans="1:28" s="21" customFormat="1" ht="21" customHeight="1" x14ac:dyDescent="0.2">
      <c r="A13" s="26" t="s">
        <v>12</v>
      </c>
      <c r="B13" s="27">
        <v>6013</v>
      </c>
      <c r="C13" s="28">
        <v>4909</v>
      </c>
      <c r="D13" s="28">
        <v>5631</v>
      </c>
      <c r="E13" s="28">
        <v>5689</v>
      </c>
      <c r="F13" s="28">
        <v>5755</v>
      </c>
      <c r="G13" s="28">
        <v>4993</v>
      </c>
      <c r="H13" s="28">
        <v>5531</v>
      </c>
      <c r="I13" s="28">
        <v>6228</v>
      </c>
      <c r="J13" s="28">
        <v>5686</v>
      </c>
      <c r="K13" s="28">
        <v>6053</v>
      </c>
      <c r="L13" s="28">
        <v>5679</v>
      </c>
      <c r="M13" s="28">
        <v>5727</v>
      </c>
      <c r="N13" s="29">
        <f t="shared" si="0"/>
        <v>67894</v>
      </c>
      <c r="P13" s="34"/>
    </row>
    <row r="14" spans="1:28" s="21" customFormat="1" ht="21" customHeight="1" x14ac:dyDescent="0.2">
      <c r="A14" s="26" t="s">
        <v>8</v>
      </c>
      <c r="B14" s="27">
        <v>97</v>
      </c>
      <c r="C14" s="28">
        <v>34.307000000000698</v>
      </c>
      <c r="D14" s="28">
        <v>98.436000000000604</v>
      </c>
      <c r="E14" s="28">
        <v>82</v>
      </c>
      <c r="F14" s="28">
        <v>54.049999999998363</v>
      </c>
      <c r="G14" s="28">
        <v>59.563999999998487</v>
      </c>
      <c r="H14" s="28">
        <v>81.559999999999491</v>
      </c>
      <c r="I14" s="46">
        <v>88.983999999999469</v>
      </c>
      <c r="J14" s="28">
        <v>79.668999999999869</v>
      </c>
      <c r="K14" s="28">
        <v>84.894000000000233</v>
      </c>
      <c r="L14" s="28">
        <v>24.893999999999323</v>
      </c>
      <c r="M14" s="28">
        <v>63</v>
      </c>
      <c r="N14" s="29">
        <f t="shared" si="0"/>
        <v>848.35799999999654</v>
      </c>
      <c r="P14" s="36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M15" si="1">SUM(B16:B49)</f>
        <v>5921</v>
      </c>
      <c r="C15" s="24">
        <f t="shared" si="1"/>
        <v>4934.6929999999993</v>
      </c>
      <c r="D15" s="24">
        <f t="shared" si="1"/>
        <v>5533.5639999999994</v>
      </c>
      <c r="E15" s="24">
        <f t="shared" si="1"/>
        <v>5608</v>
      </c>
      <c r="F15" s="24">
        <f t="shared" si="1"/>
        <v>5844.9500000000016</v>
      </c>
      <c r="G15" s="24">
        <f t="shared" si="1"/>
        <v>5122.4360000000015</v>
      </c>
      <c r="H15" s="24">
        <f t="shared" si="1"/>
        <v>5451.4400000000005</v>
      </c>
      <c r="I15" s="24">
        <f t="shared" si="1"/>
        <v>6162.0160000000005</v>
      </c>
      <c r="J15" s="24">
        <f t="shared" si="1"/>
        <v>5712.3310000000001</v>
      </c>
      <c r="K15" s="24">
        <f t="shared" si="1"/>
        <v>5976.1059999999998</v>
      </c>
      <c r="L15" s="24">
        <f t="shared" si="1"/>
        <v>5659.1060000000007</v>
      </c>
      <c r="M15" s="24">
        <f t="shared" si="1"/>
        <v>5944</v>
      </c>
      <c r="N15" s="25">
        <f t="shared" si="0"/>
        <v>67869.641999999993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197</v>
      </c>
      <c r="C16" s="2">
        <v>139</v>
      </c>
      <c r="D16" s="2">
        <v>202</v>
      </c>
      <c r="E16" s="2">
        <v>183</v>
      </c>
      <c r="F16" s="2">
        <v>200</v>
      </c>
      <c r="G16" s="2">
        <v>179.81399999999999</v>
      </c>
      <c r="H16" s="2">
        <v>183</v>
      </c>
      <c r="I16" s="2">
        <v>194.93700000000001</v>
      </c>
      <c r="J16" s="2">
        <v>193.2</v>
      </c>
      <c r="K16" s="2">
        <v>190</v>
      </c>
      <c r="L16" s="2">
        <v>181</v>
      </c>
      <c r="M16" s="2">
        <v>193.42699999999999</v>
      </c>
      <c r="N16" s="4">
        <f t="shared" si="0"/>
        <v>2236.3780000000002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101.595</v>
      </c>
      <c r="C18" s="2">
        <v>94.997</v>
      </c>
      <c r="D18" s="2">
        <v>95.138999999999996</v>
      </c>
      <c r="E18" s="2">
        <v>91.504999999999995</v>
      </c>
      <c r="F18" s="2">
        <v>102.55800000000001</v>
      </c>
      <c r="G18" s="2">
        <v>96.64</v>
      </c>
      <c r="H18" s="2">
        <v>80.025999999999996</v>
      </c>
      <c r="I18" s="2">
        <v>94.963999999999999</v>
      </c>
      <c r="J18" s="2">
        <v>81.162999999999997</v>
      </c>
      <c r="K18" s="2">
        <v>96.426000000000002</v>
      </c>
      <c r="L18" s="2">
        <v>82.614999999999995</v>
      </c>
      <c r="M18" s="2">
        <v>85.506</v>
      </c>
      <c r="N18" s="4">
        <f t="shared" si="0"/>
        <v>1103.134</v>
      </c>
    </row>
    <row r="19" spans="1:29" ht="16.5" customHeight="1" x14ac:dyDescent="0.2">
      <c r="A19" s="9" t="s">
        <v>17</v>
      </c>
      <c r="B19" s="3">
        <v>40.152000000000001</v>
      </c>
      <c r="C19" s="2">
        <v>28.003</v>
      </c>
      <c r="D19" s="2">
        <v>12.861000000000004</v>
      </c>
      <c r="E19" s="2">
        <v>20.495000000000005</v>
      </c>
      <c r="F19" s="2">
        <v>11.441999999999993</v>
      </c>
      <c r="G19" s="2">
        <v>21.36</v>
      </c>
      <c r="H19" s="2">
        <v>4.9740000000000038</v>
      </c>
      <c r="I19" s="2">
        <v>5.0360000000000014</v>
      </c>
      <c r="J19" s="2">
        <v>0</v>
      </c>
      <c r="K19" s="2">
        <v>24.573999999999998</v>
      </c>
      <c r="L19" s="2">
        <v>23.385000000000005</v>
      </c>
      <c r="M19" s="2">
        <v>15.494</v>
      </c>
      <c r="N19" s="4">
        <f t="shared" si="0"/>
        <v>207.77599999999998</v>
      </c>
    </row>
    <row r="20" spans="1:29" ht="16.5" customHeight="1" x14ac:dyDescent="0.2">
      <c r="A20" s="9" t="s">
        <v>18</v>
      </c>
      <c r="B20" s="3">
        <v>171</v>
      </c>
      <c r="C20" s="2">
        <v>140</v>
      </c>
      <c r="D20" s="2">
        <v>153</v>
      </c>
      <c r="E20" s="2">
        <v>156</v>
      </c>
      <c r="F20" s="2">
        <v>162</v>
      </c>
      <c r="G20" s="2">
        <v>154</v>
      </c>
      <c r="H20" s="2">
        <v>139</v>
      </c>
      <c r="I20" s="2">
        <v>159</v>
      </c>
      <c r="J20" s="2">
        <v>125</v>
      </c>
      <c r="K20" s="2">
        <v>144</v>
      </c>
      <c r="L20" s="2">
        <v>133</v>
      </c>
      <c r="M20" s="2">
        <v>120</v>
      </c>
      <c r="N20" s="4">
        <f t="shared" si="0"/>
        <v>1756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29" ht="16.5" customHeight="1" x14ac:dyDescent="0.2">
      <c r="A22" s="9" t="s">
        <v>20</v>
      </c>
      <c r="B22" s="3">
        <v>109.60299999999999</v>
      </c>
      <c r="C22" s="2">
        <v>97.688999999999993</v>
      </c>
      <c r="D22" s="2">
        <v>112.501</v>
      </c>
      <c r="E22" s="2">
        <v>91.891999999999996</v>
      </c>
      <c r="F22" s="2">
        <v>99.36</v>
      </c>
      <c r="G22" s="2">
        <v>84.24</v>
      </c>
      <c r="H22" s="2">
        <v>106.062</v>
      </c>
      <c r="I22" s="2">
        <v>107.89</v>
      </c>
      <c r="J22" s="2">
        <v>97.570999999999998</v>
      </c>
      <c r="K22" s="2">
        <v>97.844999999999999</v>
      </c>
      <c r="L22" s="2">
        <v>91.183999999999997</v>
      </c>
      <c r="M22" s="2">
        <v>99.268000000000001</v>
      </c>
      <c r="N22" s="4">
        <f t="shared" si="0"/>
        <v>1195.105</v>
      </c>
    </row>
    <row r="23" spans="1:29" ht="16.5" customHeight="1" x14ac:dyDescent="0.2">
      <c r="A23" s="9" t="s">
        <v>21</v>
      </c>
      <c r="B23" s="3">
        <v>1.264</v>
      </c>
      <c r="C23" s="2">
        <v>4.2229999999999999</v>
      </c>
      <c r="D23" s="2">
        <v>6.2249999999999996</v>
      </c>
      <c r="E23" s="2">
        <v>11.957000000000001</v>
      </c>
      <c r="F23" s="2">
        <v>10.138</v>
      </c>
      <c r="G23" s="2">
        <v>9.2370000000000001</v>
      </c>
      <c r="H23" s="2">
        <v>4.9630000000000001</v>
      </c>
      <c r="I23" s="2">
        <v>0</v>
      </c>
      <c r="J23" s="2">
        <v>7.18</v>
      </c>
      <c r="K23" s="2">
        <v>4.1829999999999998</v>
      </c>
      <c r="L23" s="2">
        <v>7.1999999999999995E-2</v>
      </c>
      <c r="M23" s="2">
        <v>2.3079999999999998</v>
      </c>
      <c r="N23" s="4">
        <f t="shared" si="0"/>
        <v>61.750000000000007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29" ht="16.5" customHeight="1" x14ac:dyDescent="0.2">
      <c r="A25" s="9" t="s">
        <v>23</v>
      </c>
      <c r="B25" s="3">
        <v>727.93400000000008</v>
      </c>
      <c r="C25" s="2">
        <v>571.01700000000005</v>
      </c>
      <c r="D25" s="2">
        <v>578.86699999999996</v>
      </c>
      <c r="E25" s="2">
        <v>568.57300000000009</v>
      </c>
      <c r="F25" s="2">
        <v>664.34899999999993</v>
      </c>
      <c r="G25" s="2">
        <v>645.76099999999997</v>
      </c>
      <c r="H25" s="2">
        <v>608.41500000000008</v>
      </c>
      <c r="I25" s="2">
        <v>744.43200000000002</v>
      </c>
      <c r="J25" s="2">
        <v>744.09400000000005</v>
      </c>
      <c r="K25" s="2">
        <v>722.1</v>
      </c>
      <c r="L25" s="2">
        <v>656.85399999999993</v>
      </c>
      <c r="M25" s="2">
        <v>721.76099999999997</v>
      </c>
      <c r="N25" s="4">
        <f t="shared" si="0"/>
        <v>7954.1570000000011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29" ht="16.5" customHeight="1" x14ac:dyDescent="0.2">
      <c r="A28" s="9" t="s">
        <v>26</v>
      </c>
      <c r="B28" s="3">
        <v>39.573</v>
      </c>
      <c r="C28" s="2">
        <v>21.416</v>
      </c>
      <c r="D28" s="2">
        <v>23.846</v>
      </c>
      <c r="E28" s="2">
        <v>23.497</v>
      </c>
      <c r="F28" s="2">
        <v>40.076999999999998</v>
      </c>
      <c r="G28" s="2">
        <v>39.942999999999998</v>
      </c>
      <c r="H28" s="2">
        <v>34</v>
      </c>
      <c r="I28" s="2">
        <v>36.756999999999998</v>
      </c>
      <c r="J28" s="2">
        <v>31.425999999999998</v>
      </c>
      <c r="K28" s="2">
        <v>30.177</v>
      </c>
      <c r="L28" s="2">
        <v>22.786999999999999</v>
      </c>
      <c r="M28" s="2">
        <v>37.356000000000002</v>
      </c>
      <c r="N28" s="4">
        <f t="shared" si="0"/>
        <v>380.85499999999996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</row>
    <row r="30" spans="1:29" ht="16.5" customHeight="1" x14ac:dyDescent="0.2">
      <c r="A30" s="9" t="s">
        <v>28</v>
      </c>
      <c r="B30" s="3">
        <v>879</v>
      </c>
      <c r="C30" s="2">
        <v>741</v>
      </c>
      <c r="D30" s="2">
        <v>850.84199999999998</v>
      </c>
      <c r="E30" s="2">
        <v>854</v>
      </c>
      <c r="F30" s="2">
        <v>864.26</v>
      </c>
      <c r="G30" s="2">
        <v>684.49199999999996</v>
      </c>
      <c r="H30" s="2">
        <v>804</v>
      </c>
      <c r="I30" s="2">
        <v>906</v>
      </c>
      <c r="J30" s="2">
        <v>855.55399999999997</v>
      </c>
      <c r="K30" s="2">
        <v>859.08600000000001</v>
      </c>
      <c r="L30" s="2">
        <v>854.49900000000002</v>
      </c>
      <c r="M30" s="2">
        <v>886</v>
      </c>
      <c r="N30" s="4">
        <f t="shared" si="0"/>
        <v>10038.733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157.184</v>
      </c>
      <c r="C32" s="2">
        <v>251.49</v>
      </c>
      <c r="D32" s="2">
        <v>287.37</v>
      </c>
      <c r="E32" s="2">
        <v>283.858</v>
      </c>
      <c r="F32" s="2">
        <v>283.16000000000003</v>
      </c>
      <c r="G32" s="2">
        <v>285.10899999999998</v>
      </c>
      <c r="H32" s="2">
        <v>181.20599999999999</v>
      </c>
      <c r="I32" s="2">
        <v>300.83</v>
      </c>
      <c r="J32" s="2">
        <v>279.84500000000003</v>
      </c>
      <c r="K32" s="2">
        <v>275.35599999999999</v>
      </c>
      <c r="L32" s="2">
        <v>290.07900000000001</v>
      </c>
      <c r="M32" s="2">
        <v>291.25599999999997</v>
      </c>
      <c r="N32" s="4">
        <f t="shared" si="0"/>
        <v>3166.7429999999995</v>
      </c>
    </row>
    <row r="33" spans="1:14" ht="16.5" customHeight="1" x14ac:dyDescent="0.2">
      <c r="A33" s="9" t="s">
        <v>31</v>
      </c>
      <c r="B33" s="3">
        <v>26.452999999999999</v>
      </c>
      <c r="C33" s="2">
        <v>26.934999999999999</v>
      </c>
      <c r="D33" s="2">
        <v>24.789000000000001</v>
      </c>
      <c r="E33" s="2">
        <v>32.744</v>
      </c>
      <c r="F33" s="2">
        <v>20.951000000000001</v>
      </c>
      <c r="G33" s="2">
        <v>19.071999999999999</v>
      </c>
      <c r="H33" s="2">
        <v>29.312000000000001</v>
      </c>
      <c r="I33" s="2">
        <v>17.161000000000001</v>
      </c>
      <c r="J33" s="2">
        <v>40.906999999999996</v>
      </c>
      <c r="K33" s="2">
        <v>41.006999999999998</v>
      </c>
      <c r="L33" s="2">
        <v>19.484999999999999</v>
      </c>
      <c r="M33" s="2">
        <v>33.752000000000002</v>
      </c>
      <c r="N33" s="4">
        <f t="shared" si="0"/>
        <v>332.56800000000004</v>
      </c>
    </row>
    <row r="34" spans="1:14" ht="16.5" customHeight="1" x14ac:dyDescent="0.2">
      <c r="A34" s="9" t="s">
        <v>32</v>
      </c>
      <c r="B34" s="3">
        <v>0</v>
      </c>
      <c r="C34" s="2">
        <v>6.9770000000000003</v>
      </c>
      <c r="D34" s="2">
        <v>7.8739999999999997</v>
      </c>
      <c r="E34" s="2">
        <v>2.87</v>
      </c>
      <c r="F34" s="2">
        <v>4.1840000000000002</v>
      </c>
      <c r="G34" s="2">
        <v>1.2729999999999999</v>
      </c>
      <c r="H34" s="2">
        <v>0.878</v>
      </c>
      <c r="I34" s="2">
        <v>0.88500000000000001</v>
      </c>
      <c r="J34" s="2">
        <v>4.3470000000000004</v>
      </c>
      <c r="K34" s="2">
        <v>6.6429999999999998</v>
      </c>
      <c r="L34" s="2">
        <v>6.2640000000000002</v>
      </c>
      <c r="M34" s="2">
        <v>10.909000000000001</v>
      </c>
      <c r="N34" s="4">
        <f t="shared" si="0"/>
        <v>53.104000000000006</v>
      </c>
    </row>
    <row r="35" spans="1:14" ht="16.5" customHeight="1" x14ac:dyDescent="0.2">
      <c r="A35" s="9" t="s">
        <v>33</v>
      </c>
      <c r="B35" s="3">
        <v>99.085999999999999</v>
      </c>
      <c r="C35" s="2">
        <v>54.51</v>
      </c>
      <c r="D35" s="2">
        <v>66.537999999999997</v>
      </c>
      <c r="E35" s="2">
        <v>63.576000000000001</v>
      </c>
      <c r="F35" s="2">
        <v>63.747999999999998</v>
      </c>
      <c r="G35" s="2">
        <v>62.832000000000001</v>
      </c>
      <c r="H35" s="2">
        <v>62.21</v>
      </c>
      <c r="I35" s="2">
        <v>61.551000000000002</v>
      </c>
      <c r="J35" s="2">
        <v>62.167000000000002</v>
      </c>
      <c r="K35" s="2">
        <v>60.206000000000003</v>
      </c>
      <c r="L35" s="2">
        <v>61.594000000000001</v>
      </c>
      <c r="M35" s="2">
        <v>64.838999999999999</v>
      </c>
      <c r="N35" s="4">
        <f t="shared" si="0"/>
        <v>782.8570000000002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2033.461</v>
      </c>
      <c r="C37" s="2">
        <v>1647.94</v>
      </c>
      <c r="D37" s="2">
        <v>1721.96</v>
      </c>
      <c r="E37" s="2">
        <v>1888.81</v>
      </c>
      <c r="F37" s="2">
        <v>1974.9759999999999</v>
      </c>
      <c r="G37" s="2">
        <v>1662.596</v>
      </c>
      <c r="H37" s="2">
        <v>1887.6</v>
      </c>
      <c r="I37" s="2">
        <v>2102.2110000000002</v>
      </c>
      <c r="J37" s="2">
        <v>1989.3150000000001</v>
      </c>
      <c r="K37" s="2">
        <v>2073.183</v>
      </c>
      <c r="L37" s="2">
        <v>1911.6569999999999</v>
      </c>
      <c r="M37" s="2">
        <v>1933.7950000000001</v>
      </c>
      <c r="N37" s="4">
        <f t="shared" si="0"/>
        <v>22827.504000000001</v>
      </c>
    </row>
    <row r="38" spans="1:14" ht="16.5" customHeight="1" x14ac:dyDescent="0.2">
      <c r="A38" s="9" t="s">
        <v>36</v>
      </c>
      <c r="B38" s="3">
        <v>11.816000000000001</v>
      </c>
      <c r="C38" s="2">
        <v>19.148</v>
      </c>
      <c r="D38" s="2">
        <v>11.468999999999999</v>
      </c>
      <c r="E38" s="2">
        <v>28.141999999999999</v>
      </c>
      <c r="F38" s="2">
        <v>15.981</v>
      </c>
      <c r="G38" s="2">
        <v>29.117999999999999</v>
      </c>
      <c r="H38" s="2">
        <v>26.794</v>
      </c>
      <c r="I38" s="2">
        <v>29.361999999999998</v>
      </c>
      <c r="J38" s="2">
        <v>29.419</v>
      </c>
      <c r="K38" s="2">
        <v>28.605</v>
      </c>
      <c r="L38" s="2">
        <v>13.920999999999999</v>
      </c>
      <c r="M38" s="2">
        <v>29.449000000000002</v>
      </c>
      <c r="N38" s="4">
        <f t="shared" si="0"/>
        <v>273.22399999999999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1.9E-2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1.9E-2</v>
      </c>
    </row>
    <row r="41" spans="1:14" ht="16.5" customHeight="1" x14ac:dyDescent="0.2">
      <c r="A41" s="9" t="s">
        <v>39</v>
      </c>
      <c r="B41" s="3">
        <v>24.469000000000001</v>
      </c>
      <c r="C41" s="2">
        <v>3.3809999999999998</v>
      </c>
      <c r="D41" s="2">
        <v>3.44</v>
      </c>
      <c r="E41" s="2">
        <v>11.945</v>
      </c>
      <c r="F41" s="2">
        <v>12.087</v>
      </c>
      <c r="G41" s="2">
        <v>9.4629999999999992</v>
      </c>
      <c r="H41" s="2">
        <v>2.3919999999999999</v>
      </c>
      <c r="I41" s="2">
        <v>3.1E-2</v>
      </c>
      <c r="J41" s="2">
        <v>3.234</v>
      </c>
      <c r="K41" s="2">
        <v>3.1E-2</v>
      </c>
      <c r="L41" s="2">
        <v>0.03</v>
      </c>
      <c r="M41" s="2">
        <v>0.16200000000000001</v>
      </c>
      <c r="N41" s="4">
        <f t="shared" si="0"/>
        <v>70.665000000000006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476.06</v>
      </c>
      <c r="C43" s="2">
        <v>459.34</v>
      </c>
      <c r="D43" s="2">
        <v>436.84300000000002</v>
      </c>
      <c r="E43" s="2">
        <v>498.767</v>
      </c>
      <c r="F43" s="2">
        <v>507.024</v>
      </c>
      <c r="G43" s="2">
        <v>394.11599999999999</v>
      </c>
      <c r="H43" s="2">
        <v>481.608</v>
      </c>
      <c r="I43" s="2">
        <v>514.96900000000005</v>
      </c>
      <c r="J43" s="2">
        <v>426.19099999999997</v>
      </c>
      <c r="K43" s="2">
        <v>583.55200000000002</v>
      </c>
      <c r="L43" s="2">
        <v>551.67999999999995</v>
      </c>
      <c r="M43" s="2">
        <v>599.58299999999997</v>
      </c>
      <c r="N43" s="4">
        <f t="shared" si="0"/>
        <v>5929.7330000000002</v>
      </c>
    </row>
    <row r="44" spans="1:14" ht="16.5" customHeight="1" x14ac:dyDescent="0.2">
      <c r="A44" s="9" t="s">
        <v>41</v>
      </c>
      <c r="B44" s="3">
        <v>32.963999999999999</v>
      </c>
      <c r="C44" s="2">
        <v>28.524999999999999</v>
      </c>
      <c r="D44" s="2">
        <v>28.962</v>
      </c>
      <c r="E44" s="2">
        <v>37.32</v>
      </c>
      <c r="F44" s="2">
        <v>39.415999999999997</v>
      </c>
      <c r="G44" s="2">
        <v>35.072000000000003</v>
      </c>
      <c r="H44" s="2">
        <v>36.997</v>
      </c>
      <c r="I44" s="2">
        <v>36.83</v>
      </c>
      <c r="J44" s="2">
        <v>34.32</v>
      </c>
      <c r="K44" s="2">
        <v>32.85</v>
      </c>
      <c r="L44" s="2">
        <v>35.844999999999999</v>
      </c>
      <c r="M44" s="2">
        <v>35.472999999999999</v>
      </c>
      <c r="N44" s="4">
        <f t="shared" si="0"/>
        <v>414.57400000000001</v>
      </c>
    </row>
    <row r="45" spans="1:14" ht="16.5" customHeight="1" x14ac:dyDescent="0.2">
      <c r="A45" s="9" t="s">
        <v>42</v>
      </c>
      <c r="B45" s="3">
        <v>153.73400000000001</v>
      </c>
      <c r="C45" s="2">
        <v>122.86799999999999</v>
      </c>
      <c r="D45" s="2">
        <v>229.441</v>
      </c>
      <c r="E45" s="2">
        <v>181.858</v>
      </c>
      <c r="F45" s="2">
        <v>257.20600000000002</v>
      </c>
      <c r="G45" s="2">
        <v>242.60400000000001</v>
      </c>
      <c r="H45" s="2">
        <v>282.28500000000003</v>
      </c>
      <c r="I45" s="2">
        <v>231.04400000000001</v>
      </c>
      <c r="J45" s="2">
        <v>262.42599999999999</v>
      </c>
      <c r="K45" s="2">
        <v>224.97</v>
      </c>
      <c r="L45" s="2">
        <v>206.71899999999999</v>
      </c>
      <c r="M45" s="2">
        <v>234.428</v>
      </c>
      <c r="N45" s="4">
        <f t="shared" si="0"/>
        <v>2629.5830000000001</v>
      </c>
    </row>
    <row r="46" spans="1:14" ht="16.5" customHeight="1" x14ac:dyDescent="0.2">
      <c r="A46" s="9" t="s">
        <v>43</v>
      </c>
      <c r="B46" s="3">
        <v>24.884</v>
      </c>
      <c r="C46" s="2">
        <v>17.619</v>
      </c>
      <c r="D46" s="2">
        <v>17.356999999999999</v>
      </c>
      <c r="E46" s="2">
        <v>18.175999999999998</v>
      </c>
      <c r="F46" s="2">
        <v>18.876999999999999</v>
      </c>
      <c r="G46" s="2">
        <v>20.353999999999999</v>
      </c>
      <c r="H46" s="2">
        <v>19.257999999999999</v>
      </c>
      <c r="I46" s="2">
        <v>17.483000000000001</v>
      </c>
      <c r="J46" s="2">
        <v>25.640999999999998</v>
      </c>
      <c r="K46" s="2">
        <v>22.835999999999999</v>
      </c>
      <c r="L46" s="2">
        <v>19.279</v>
      </c>
      <c r="M46" s="2">
        <v>21.399000000000001</v>
      </c>
      <c r="N46" s="4">
        <f t="shared" si="0"/>
        <v>243.16300000000001</v>
      </c>
    </row>
    <row r="47" spans="1:14" ht="16.5" customHeight="1" x14ac:dyDescent="0.2">
      <c r="A47" s="9" t="s">
        <v>44</v>
      </c>
      <c r="B47" s="3">
        <v>8.4440000000000008</v>
      </c>
      <c r="C47" s="2">
        <v>6.2169999999999996</v>
      </c>
      <c r="D47" s="2">
        <v>7.2910000000000004</v>
      </c>
      <c r="E47" s="2">
        <v>7.3639999999999999</v>
      </c>
      <c r="F47" s="2">
        <v>8.4060000000000006</v>
      </c>
      <c r="G47" s="2">
        <v>7.4729999999999999</v>
      </c>
      <c r="H47" s="2">
        <v>7.782</v>
      </c>
      <c r="I47" s="2">
        <v>7.5090000000000003</v>
      </c>
      <c r="J47" s="2">
        <v>7.4370000000000003</v>
      </c>
      <c r="K47" s="2">
        <v>8.0359999999999996</v>
      </c>
      <c r="L47" s="2">
        <v>7.11</v>
      </c>
      <c r="M47" s="2">
        <v>6.6970000000000001</v>
      </c>
      <c r="N47" s="4">
        <f t="shared" si="0"/>
        <v>89.766000000000005</v>
      </c>
    </row>
    <row r="48" spans="1:14" ht="16.5" customHeight="1" x14ac:dyDescent="0.2">
      <c r="A48" s="9" t="s">
        <v>45</v>
      </c>
      <c r="B48" s="3">
        <v>333</v>
      </c>
      <c r="C48" s="2">
        <v>274.608</v>
      </c>
      <c r="D48" s="2">
        <v>357</v>
      </c>
      <c r="E48" s="2">
        <v>306</v>
      </c>
      <c r="F48" s="2">
        <v>310.65499999999997</v>
      </c>
      <c r="G48" s="2">
        <v>298.02100000000002</v>
      </c>
      <c r="H48" s="2">
        <v>312</v>
      </c>
      <c r="I48" s="2">
        <v>360</v>
      </c>
      <c r="J48" s="2">
        <v>315.71800000000002</v>
      </c>
      <c r="K48" s="2">
        <v>302.13200000000001</v>
      </c>
      <c r="L48" s="2">
        <v>309</v>
      </c>
      <c r="M48" s="2">
        <v>324.01299999999998</v>
      </c>
      <c r="N48" s="4">
        <f t="shared" si="0"/>
        <v>3802.1469999999995</v>
      </c>
    </row>
    <row r="49" spans="1:14" ht="18" customHeight="1" x14ac:dyDescent="0.2">
      <c r="A49" s="10" t="s">
        <v>52</v>
      </c>
      <c r="B49" s="7">
        <v>272.3239999999987</v>
      </c>
      <c r="C49" s="5">
        <v>177.77099999999999</v>
      </c>
      <c r="D49" s="5">
        <v>297.94900000000001</v>
      </c>
      <c r="E49" s="5">
        <v>245.65100000000075</v>
      </c>
      <c r="F49" s="5">
        <v>174.09499999999997</v>
      </c>
      <c r="G49" s="5">
        <v>139.846</v>
      </c>
      <c r="H49" s="5">
        <v>156.678</v>
      </c>
      <c r="I49" s="5">
        <v>233.13399999999996</v>
      </c>
      <c r="J49" s="5">
        <v>96.175999999999988</v>
      </c>
      <c r="K49" s="5">
        <v>148.30799999999999</v>
      </c>
      <c r="L49" s="5">
        <v>181.04699999999997</v>
      </c>
      <c r="M49" s="5">
        <v>197.125</v>
      </c>
      <c r="N49" s="6">
        <f t="shared" si="0"/>
        <v>2320.1039999999994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I54"/>
      <c r="J54"/>
      <c r="K5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spans="2:11" x14ac:dyDescent="0.2">
      <c r="I225"/>
      <c r="J225"/>
      <c r="K225"/>
    </row>
    <row r="226" spans="2:11" x14ac:dyDescent="0.2">
      <c r="I226"/>
      <c r="J226"/>
      <c r="K226"/>
    </row>
    <row r="227" spans="2:11" x14ac:dyDescent="0.2">
      <c r="I227"/>
      <c r="J227"/>
      <c r="K227"/>
    </row>
    <row r="228" spans="2:11" x14ac:dyDescent="0.2">
      <c r="I228"/>
      <c r="J228"/>
      <c r="K228"/>
    </row>
    <row r="229" spans="2:11" x14ac:dyDescent="0.2">
      <c r="I229"/>
      <c r="J229"/>
      <c r="K229"/>
    </row>
    <row r="230" spans="2:11" x14ac:dyDescent="0.2">
      <c r="I230"/>
      <c r="J230"/>
      <c r="K230"/>
    </row>
    <row r="231" spans="2:11" x14ac:dyDescent="0.2">
      <c r="I231"/>
      <c r="J231"/>
      <c r="K231"/>
    </row>
    <row r="232" spans="2:11" x14ac:dyDescent="0.2">
      <c r="I232"/>
      <c r="J232"/>
      <c r="K232"/>
    </row>
    <row r="233" spans="2:11" x14ac:dyDescent="0.2">
      <c r="I233"/>
      <c r="J233"/>
      <c r="K233"/>
    </row>
    <row r="234" spans="2:11" x14ac:dyDescent="0.2">
      <c r="I234"/>
      <c r="J234"/>
      <c r="K234"/>
    </row>
    <row r="235" spans="2:11" x14ac:dyDescent="0.2">
      <c r="I235"/>
      <c r="J235"/>
      <c r="K235"/>
    </row>
    <row r="236" spans="2:11" x14ac:dyDescent="0.2">
      <c r="B236" s="30"/>
      <c r="C236" s="30"/>
      <c r="D236" s="30"/>
      <c r="E236" s="30"/>
    </row>
    <row r="237" spans="2:11" x14ac:dyDescent="0.2">
      <c r="B237" s="30"/>
      <c r="C237" s="30"/>
      <c r="D237" s="30"/>
      <c r="E237" s="30"/>
    </row>
    <row r="238" spans="2:11" x14ac:dyDescent="0.2">
      <c r="B238" s="30"/>
      <c r="C238" s="30"/>
      <c r="D238" s="30"/>
      <c r="E238" s="30"/>
    </row>
    <row r="239" spans="2:11" x14ac:dyDescent="0.2">
      <c r="B239" s="30"/>
      <c r="C239" s="30"/>
      <c r="D239" s="30"/>
      <c r="E239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B239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7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7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7" s="16" customFormat="1" ht="21" customHeight="1" x14ac:dyDescent="0.2">
      <c r="A4" s="11" t="s">
        <v>13</v>
      </c>
      <c r="B4" s="12">
        <v>43466</v>
      </c>
      <c r="C4" s="13">
        <v>43497</v>
      </c>
      <c r="D4" s="13">
        <v>43525</v>
      </c>
      <c r="E4" s="13">
        <v>43556</v>
      </c>
      <c r="F4" s="13">
        <v>43586</v>
      </c>
      <c r="G4" s="13">
        <v>43617</v>
      </c>
      <c r="H4" s="13">
        <v>43647</v>
      </c>
      <c r="I4" s="14">
        <v>43678</v>
      </c>
      <c r="J4" s="14">
        <v>43709</v>
      </c>
      <c r="K4" s="14">
        <v>43739</v>
      </c>
      <c r="L4" s="13">
        <v>43770</v>
      </c>
      <c r="M4" s="13">
        <v>43800</v>
      </c>
      <c r="N4" s="15" t="s">
        <v>53</v>
      </c>
      <c r="P4"/>
    </row>
    <row r="5" spans="1:27" s="21" customFormat="1" ht="21" customHeight="1" x14ac:dyDescent="0.2">
      <c r="A5" s="17" t="s">
        <v>0</v>
      </c>
      <c r="B5" s="18">
        <v>4.3739999999999997</v>
      </c>
      <c r="C5" s="19">
        <v>4.1050000000000004</v>
      </c>
      <c r="D5" s="19">
        <v>3.6880000000000002</v>
      </c>
      <c r="E5" s="19">
        <v>1.9319999999999999</v>
      </c>
      <c r="F5" s="19">
        <v>1.7050000000000001</v>
      </c>
      <c r="G5" s="19">
        <v>1.2250000000000001</v>
      </c>
      <c r="H5" s="19">
        <v>1.7210000000000001</v>
      </c>
      <c r="I5" s="45">
        <v>2.859</v>
      </c>
      <c r="J5" s="19">
        <v>5.2809999999999997</v>
      </c>
      <c r="K5" s="19">
        <v>5.1180000000000003</v>
      </c>
      <c r="L5" s="19">
        <v>4.82</v>
      </c>
      <c r="M5" s="19">
        <v>3.4169999999999998</v>
      </c>
      <c r="N5" s="20">
        <f>SUM(B5:M5)</f>
        <v>40.245000000000005</v>
      </c>
      <c r="P5"/>
    </row>
    <row r="6" spans="1:27" s="21" customFormat="1" ht="21" customHeight="1" x14ac:dyDescent="0.2">
      <c r="A6" s="22" t="s">
        <v>1</v>
      </c>
      <c r="B6" s="23">
        <v>5896</v>
      </c>
      <c r="C6" s="24">
        <v>5363</v>
      </c>
      <c r="D6" s="24">
        <v>5665</v>
      </c>
      <c r="E6" s="24">
        <v>5497</v>
      </c>
      <c r="F6" s="24">
        <v>5780</v>
      </c>
      <c r="G6" s="24">
        <v>5647</v>
      </c>
      <c r="H6" s="24">
        <v>5149</v>
      </c>
      <c r="I6" s="24">
        <v>6036</v>
      </c>
      <c r="J6" s="24">
        <v>5138</v>
      </c>
      <c r="K6" s="24">
        <v>5682</v>
      </c>
      <c r="L6" s="24">
        <v>4997</v>
      </c>
      <c r="M6" s="24">
        <v>5469</v>
      </c>
      <c r="N6" s="25">
        <f>SUM(B6:M6)</f>
        <v>66319</v>
      </c>
      <c r="P6"/>
    </row>
    <row r="7" spans="1:27" s="21" customFormat="1" ht="21" customHeight="1" x14ac:dyDescent="0.2">
      <c r="A7" s="26" t="s">
        <v>2</v>
      </c>
      <c r="B7" s="27">
        <v>74</v>
      </c>
      <c r="C7" s="28">
        <v>-151</v>
      </c>
      <c r="D7" s="28">
        <v>-163</v>
      </c>
      <c r="E7" s="28">
        <v>-62</v>
      </c>
      <c r="F7" s="28">
        <v>62</v>
      </c>
      <c r="G7" s="28">
        <v>-131</v>
      </c>
      <c r="H7" s="28">
        <v>34</v>
      </c>
      <c r="I7" s="28">
        <v>65</v>
      </c>
      <c r="J7" s="28">
        <v>14</v>
      </c>
      <c r="K7" s="28">
        <v>-76</v>
      </c>
      <c r="L7" s="28">
        <v>101</v>
      </c>
      <c r="M7" s="28">
        <v>115</v>
      </c>
      <c r="N7" s="29">
        <f t="shared" ref="N7:N49" si="0">SUM(B7:M7)</f>
        <v>-118</v>
      </c>
      <c r="P7"/>
    </row>
    <row r="8" spans="1:27" s="21" customFormat="1" ht="21" customHeight="1" x14ac:dyDescent="0.2">
      <c r="A8" s="26" t="s">
        <v>3</v>
      </c>
      <c r="B8" s="27">
        <v>2</v>
      </c>
      <c r="C8" s="28">
        <v>406</v>
      </c>
      <c r="D8" s="28">
        <v>-137</v>
      </c>
      <c r="E8" s="28">
        <v>-182</v>
      </c>
      <c r="F8" s="28">
        <v>302</v>
      </c>
      <c r="G8" s="28">
        <v>656</v>
      </c>
      <c r="H8" s="28">
        <v>-381</v>
      </c>
      <c r="I8" s="28">
        <v>39</v>
      </c>
      <c r="J8" s="28">
        <v>-137</v>
      </c>
      <c r="K8" s="28">
        <v>-47</v>
      </c>
      <c r="L8" s="28">
        <v>201</v>
      </c>
      <c r="M8" s="28">
        <v>-27</v>
      </c>
      <c r="N8" s="29">
        <f t="shared" si="0"/>
        <v>695</v>
      </c>
      <c r="P8"/>
    </row>
    <row r="9" spans="1:27" s="21" customFormat="1" ht="21" customHeight="1" x14ac:dyDescent="0.2">
      <c r="A9" s="26" t="s">
        <v>4</v>
      </c>
      <c r="B9" s="27">
        <v>116</v>
      </c>
      <c r="C9" s="28">
        <v>33</v>
      </c>
      <c r="D9" s="28">
        <v>15</v>
      </c>
      <c r="E9" s="28">
        <v>-25</v>
      </c>
      <c r="F9" s="28">
        <v>7</v>
      </c>
      <c r="G9" s="28">
        <v>-81</v>
      </c>
      <c r="H9" s="28">
        <v>128</v>
      </c>
      <c r="I9" s="28">
        <v>110</v>
      </c>
      <c r="J9" s="28">
        <v>-205</v>
      </c>
      <c r="K9" s="28">
        <v>75</v>
      </c>
      <c r="L9" s="28">
        <v>105</v>
      </c>
      <c r="M9" s="28">
        <v>-43</v>
      </c>
      <c r="N9" s="29">
        <f t="shared" si="0"/>
        <v>235</v>
      </c>
      <c r="P9"/>
    </row>
    <row r="10" spans="1:27" s="21" customFormat="1" ht="21" customHeight="1" x14ac:dyDescent="0.2">
      <c r="A10" s="26" t="s">
        <v>5</v>
      </c>
      <c r="B10" s="27">
        <v>45</v>
      </c>
      <c r="C10" s="28">
        <v>185</v>
      </c>
      <c r="D10" s="28">
        <v>180</v>
      </c>
      <c r="E10" s="28">
        <v>166</v>
      </c>
      <c r="F10" s="28">
        <v>19</v>
      </c>
      <c r="G10" s="28">
        <v>92</v>
      </c>
      <c r="H10" s="28">
        <v>122</v>
      </c>
      <c r="I10" s="28">
        <v>51</v>
      </c>
      <c r="J10" s="28">
        <v>76</v>
      </c>
      <c r="K10" s="28">
        <v>153</v>
      </c>
      <c r="L10" s="28">
        <v>138</v>
      </c>
      <c r="M10" s="28">
        <v>17</v>
      </c>
      <c r="N10" s="29">
        <f t="shared" si="0"/>
        <v>1244</v>
      </c>
      <c r="P10"/>
    </row>
    <row r="11" spans="1:27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/>
    </row>
    <row r="12" spans="1:27" s="31" customFormat="1" ht="21" customHeight="1" x14ac:dyDescent="0.2">
      <c r="A12" s="22" t="s">
        <v>7</v>
      </c>
      <c r="B12" s="24">
        <v>5901.3739999999998</v>
      </c>
      <c r="C12" s="24">
        <v>4962.1049999999996</v>
      </c>
      <c r="D12" s="24">
        <v>5807.6880000000001</v>
      </c>
      <c r="E12" s="24">
        <v>5809.9319999999998</v>
      </c>
      <c r="F12" s="24">
        <v>5553.7049999999999</v>
      </c>
      <c r="G12" s="24">
        <v>5034.2250000000004</v>
      </c>
      <c r="H12" s="24">
        <v>5559.7209999999995</v>
      </c>
      <c r="I12" s="24">
        <v>6005.8590000000004</v>
      </c>
      <c r="J12" s="24">
        <v>5575.2809999999999</v>
      </c>
      <c r="K12" s="24">
        <v>5736.1180000000004</v>
      </c>
      <c r="L12" s="24">
        <v>4934.82</v>
      </c>
      <c r="M12" s="24">
        <v>5674.4170000000004</v>
      </c>
      <c r="N12" s="25">
        <f>SUM(B12:M12)</f>
        <v>66555.244999999995</v>
      </c>
      <c r="P12"/>
    </row>
    <row r="13" spans="1:27" s="21" customFormat="1" ht="21" customHeight="1" x14ac:dyDescent="0.2">
      <c r="A13" s="26" t="s">
        <v>12</v>
      </c>
      <c r="B13" s="27">
        <v>5898</v>
      </c>
      <c r="C13" s="28">
        <v>4961</v>
      </c>
      <c r="D13" s="28">
        <v>5805</v>
      </c>
      <c r="E13" s="28">
        <v>5681</v>
      </c>
      <c r="F13" s="28">
        <v>5480</v>
      </c>
      <c r="G13" s="28">
        <v>4992</v>
      </c>
      <c r="H13" s="28">
        <v>5517</v>
      </c>
      <c r="I13" s="28">
        <v>6000</v>
      </c>
      <c r="J13" s="28">
        <v>5279</v>
      </c>
      <c r="K13" s="28">
        <v>5734</v>
      </c>
      <c r="L13" s="28">
        <v>4802</v>
      </c>
      <c r="M13" s="28">
        <v>5499</v>
      </c>
      <c r="N13" s="29">
        <f t="shared" si="0"/>
        <v>65648</v>
      </c>
      <c r="P13"/>
    </row>
    <row r="14" spans="1:27" s="21" customFormat="1" ht="21" customHeight="1" x14ac:dyDescent="0.2">
      <c r="A14" s="26" t="s">
        <v>8</v>
      </c>
      <c r="B14" s="27">
        <v>151.60100000000148</v>
      </c>
      <c r="C14" s="28">
        <v>149.15500000000065</v>
      </c>
      <c r="D14" s="28">
        <v>148</v>
      </c>
      <c r="E14" s="28">
        <v>39</v>
      </c>
      <c r="F14" s="28">
        <v>100.14000000000033</v>
      </c>
      <c r="G14" s="28">
        <v>4</v>
      </c>
      <c r="H14" s="28">
        <v>53.972999999999956</v>
      </c>
      <c r="I14" s="46">
        <v>30.577000000002045</v>
      </c>
      <c r="J14" s="28">
        <v>96</v>
      </c>
      <c r="K14" s="28">
        <v>187.05000000000018</v>
      </c>
      <c r="L14" s="28">
        <v>37</v>
      </c>
      <c r="M14" s="28">
        <v>45.860999999998967</v>
      </c>
      <c r="N14" s="29">
        <f t="shared" si="0"/>
        <v>1042.3570000000036</v>
      </c>
      <c r="P14"/>
      <c r="R14" s="42"/>
      <c r="S14" s="42"/>
      <c r="T14" s="42"/>
      <c r="U14" s="42"/>
      <c r="V14" s="42"/>
      <c r="W14" s="42"/>
      <c r="X14" s="42"/>
      <c r="Y14" s="42"/>
      <c r="Z14" s="42"/>
      <c r="AA14" s="42"/>
    </row>
    <row r="15" spans="1:27" s="32" customFormat="1" ht="21" customHeight="1" x14ac:dyDescent="0.2">
      <c r="A15" s="22" t="s">
        <v>9</v>
      </c>
      <c r="B15" s="24">
        <f t="shared" ref="B15:M15" si="1">SUM(B16:B49)</f>
        <v>5749.3989999999985</v>
      </c>
      <c r="C15" s="24">
        <f t="shared" si="1"/>
        <v>4812.8449999999993</v>
      </c>
      <c r="D15" s="24">
        <f t="shared" si="1"/>
        <v>5660</v>
      </c>
      <c r="E15" s="24">
        <f t="shared" si="1"/>
        <v>5771</v>
      </c>
      <c r="F15" s="24">
        <f t="shared" si="1"/>
        <v>5453.86</v>
      </c>
      <c r="G15" s="24">
        <f t="shared" si="1"/>
        <v>5030</v>
      </c>
      <c r="H15" s="24">
        <f t="shared" si="1"/>
        <v>5506.027</v>
      </c>
      <c r="I15" s="24">
        <f t="shared" si="1"/>
        <v>5975.422999999998</v>
      </c>
      <c r="J15" s="24">
        <f t="shared" si="1"/>
        <v>5479</v>
      </c>
      <c r="K15" s="24">
        <f t="shared" si="1"/>
        <v>5548.95</v>
      </c>
      <c r="L15" s="24">
        <f t="shared" si="1"/>
        <v>4898</v>
      </c>
      <c r="M15" s="24">
        <f t="shared" si="1"/>
        <v>5628.139000000001</v>
      </c>
      <c r="N15" s="25">
        <f t="shared" si="0"/>
        <v>65512.642999999996</v>
      </c>
      <c r="P15"/>
      <c r="Q15" s="21"/>
      <c r="R15" s="43"/>
      <c r="S15" s="43"/>
      <c r="T15" s="43"/>
      <c r="U15" s="43"/>
      <c r="V15" s="43"/>
      <c r="W15" s="43"/>
      <c r="X15" s="43"/>
      <c r="Y15" s="43"/>
      <c r="Z15" s="43"/>
      <c r="AA15" s="43"/>
    </row>
    <row r="16" spans="1:27" ht="16.5" customHeight="1" x14ac:dyDescent="0.2">
      <c r="A16" s="9" t="s">
        <v>14</v>
      </c>
      <c r="B16" s="3">
        <v>187.49</v>
      </c>
      <c r="C16" s="2">
        <v>151.22399999999999</v>
      </c>
      <c r="D16" s="2">
        <v>179.61699999999999</v>
      </c>
      <c r="E16" s="2">
        <v>186.22399999999999</v>
      </c>
      <c r="F16" s="2">
        <v>188.74</v>
      </c>
      <c r="G16" s="2">
        <v>177.38300000000001</v>
      </c>
      <c r="H16" s="2">
        <v>189.01400000000001</v>
      </c>
      <c r="I16" s="2">
        <v>203.47300000000001</v>
      </c>
      <c r="J16" s="2">
        <v>187.46600000000001</v>
      </c>
      <c r="K16" s="2">
        <v>157.595</v>
      </c>
      <c r="L16" s="2">
        <v>139.47999999999999</v>
      </c>
      <c r="M16" s="2">
        <v>165.63</v>
      </c>
      <c r="N16" s="4">
        <f t="shared" si="0"/>
        <v>2113.3359999999998</v>
      </c>
      <c r="Q16" s="21"/>
    </row>
    <row r="17" spans="1:28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21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</row>
    <row r="18" spans="1:28" ht="16.5" customHeight="1" x14ac:dyDescent="0.2">
      <c r="A18" s="9" t="s">
        <v>16</v>
      </c>
      <c r="B18" s="3">
        <v>103.246</v>
      </c>
      <c r="C18" s="2">
        <v>98</v>
      </c>
      <c r="D18" s="2">
        <v>75</v>
      </c>
      <c r="E18" s="2">
        <v>84</v>
      </c>
      <c r="F18" s="2">
        <v>50.688000000000002</v>
      </c>
      <c r="G18" s="2">
        <v>47</v>
      </c>
      <c r="H18" s="2">
        <v>59.115000000000002</v>
      </c>
      <c r="I18" s="2">
        <v>64.584000000000003</v>
      </c>
      <c r="J18" s="2">
        <v>56</v>
      </c>
      <c r="K18" s="2">
        <v>106.655</v>
      </c>
      <c r="L18" s="2">
        <v>112.31399999999999</v>
      </c>
      <c r="M18" s="2">
        <v>102.393</v>
      </c>
      <c r="N18" s="4">
        <f t="shared" si="0"/>
        <v>958.995</v>
      </c>
      <c r="Q18" s="21"/>
    </row>
    <row r="19" spans="1:28" ht="16.5" customHeight="1" x14ac:dyDescent="0.2">
      <c r="A19" s="9" t="s">
        <v>17</v>
      </c>
      <c r="B19" s="3">
        <v>4.7540000000000049</v>
      </c>
      <c r="C19" s="2">
        <v>0</v>
      </c>
      <c r="D19" s="2">
        <v>0</v>
      </c>
      <c r="E19" s="2">
        <v>0</v>
      </c>
      <c r="F19" s="2">
        <v>7.3119999999999976</v>
      </c>
      <c r="G19" s="2">
        <v>0</v>
      </c>
      <c r="H19" s="2">
        <v>16.884999999999998</v>
      </c>
      <c r="I19" s="2">
        <v>17.415999999999997</v>
      </c>
      <c r="J19" s="2">
        <v>0</v>
      </c>
      <c r="K19" s="2">
        <v>56.344999999999999</v>
      </c>
      <c r="L19" s="2">
        <v>51.686000000000007</v>
      </c>
      <c r="M19" s="2">
        <v>53.606999999999999</v>
      </c>
      <c r="N19" s="4">
        <f t="shared" si="0"/>
        <v>208.005</v>
      </c>
      <c r="Q19" s="21"/>
    </row>
    <row r="20" spans="1:28" ht="16.5" customHeight="1" x14ac:dyDescent="0.2">
      <c r="A20" s="9" t="s">
        <v>18</v>
      </c>
      <c r="B20" s="3">
        <v>122</v>
      </c>
      <c r="C20" s="2">
        <v>110</v>
      </c>
      <c r="D20" s="2">
        <v>124</v>
      </c>
      <c r="E20" s="2">
        <v>107</v>
      </c>
      <c r="F20" s="2">
        <v>70</v>
      </c>
      <c r="G20" s="2">
        <v>128</v>
      </c>
      <c r="H20" s="2">
        <v>158</v>
      </c>
      <c r="I20" s="2">
        <v>156</v>
      </c>
      <c r="J20" s="2">
        <v>117</v>
      </c>
      <c r="K20" s="2">
        <v>117</v>
      </c>
      <c r="L20" s="2">
        <v>111</v>
      </c>
      <c r="M20" s="2">
        <v>118</v>
      </c>
      <c r="N20" s="4">
        <f t="shared" si="0"/>
        <v>1438</v>
      </c>
      <c r="Q20" s="21"/>
    </row>
    <row r="21" spans="1:28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Q21" s="21"/>
    </row>
    <row r="22" spans="1:28" ht="16.5" customHeight="1" x14ac:dyDescent="0.2">
      <c r="A22" s="9" t="s">
        <v>20</v>
      </c>
      <c r="B22" s="3">
        <v>82.123999999999995</v>
      </c>
      <c r="C22" s="2">
        <v>84.879000000000005</v>
      </c>
      <c r="D22" s="2">
        <v>89.045000000000002</v>
      </c>
      <c r="E22" s="2">
        <v>92.606999999999999</v>
      </c>
      <c r="F22" s="2">
        <v>103.83</v>
      </c>
      <c r="G22" s="2">
        <v>85.340999999999994</v>
      </c>
      <c r="H22" s="2">
        <v>96.808999999999997</v>
      </c>
      <c r="I22" s="2">
        <v>91.673000000000002</v>
      </c>
      <c r="J22" s="2">
        <v>100.60899999999999</v>
      </c>
      <c r="K22" s="2">
        <v>70.19</v>
      </c>
      <c r="L22" s="2">
        <v>96.724000000000004</v>
      </c>
      <c r="M22" s="2">
        <v>101.486</v>
      </c>
      <c r="N22" s="4">
        <f t="shared" si="0"/>
        <v>1095.317</v>
      </c>
      <c r="Q22" s="21"/>
    </row>
    <row r="23" spans="1:28" ht="16.5" customHeight="1" x14ac:dyDescent="0.2">
      <c r="A23" s="9" t="s">
        <v>21</v>
      </c>
      <c r="B23" s="3">
        <v>9.3439999999999994</v>
      </c>
      <c r="C23" s="2">
        <v>3.875</v>
      </c>
      <c r="D23" s="2">
        <v>0.32700000000000001</v>
      </c>
      <c r="E23" s="2">
        <v>5.28</v>
      </c>
      <c r="F23" s="2">
        <v>3.0539999999999998</v>
      </c>
      <c r="G23" s="2">
        <v>6.907</v>
      </c>
      <c r="H23" s="2">
        <v>7.1529999999999996</v>
      </c>
      <c r="I23" s="2">
        <v>13.695</v>
      </c>
      <c r="J23" s="2">
        <v>7.8929999999999998</v>
      </c>
      <c r="K23" s="2">
        <v>14.686</v>
      </c>
      <c r="L23" s="2">
        <v>0.85399999999999998</v>
      </c>
      <c r="M23" s="2">
        <v>4.2859999999999996</v>
      </c>
      <c r="N23" s="4">
        <f t="shared" si="0"/>
        <v>77.353999999999999</v>
      </c>
      <c r="Q23" s="21"/>
    </row>
    <row r="24" spans="1:28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Q24" s="31"/>
    </row>
    <row r="25" spans="1:28" ht="16.5" customHeight="1" x14ac:dyDescent="0.2">
      <c r="A25" s="9" t="s">
        <v>23</v>
      </c>
      <c r="B25" s="3">
        <v>621.09699999999998</v>
      </c>
      <c r="C25" s="2">
        <v>487.89</v>
      </c>
      <c r="D25" s="2">
        <v>603.07600000000002</v>
      </c>
      <c r="E25" s="2">
        <v>711.61599999999999</v>
      </c>
      <c r="F25" s="2">
        <v>670.30599999999993</v>
      </c>
      <c r="G25" s="2">
        <v>640.74300000000017</v>
      </c>
      <c r="H25" s="2">
        <v>680.90300000000002</v>
      </c>
      <c r="I25" s="2">
        <v>766.1719999999998</v>
      </c>
      <c r="J25" s="2">
        <v>667.21600000000001</v>
      </c>
      <c r="K25" s="2">
        <v>697.43400000000008</v>
      </c>
      <c r="L25" s="2">
        <v>616.76599999999996</v>
      </c>
      <c r="M25" s="2">
        <v>751.697</v>
      </c>
      <c r="N25" s="4">
        <f t="shared" si="0"/>
        <v>7914.9160000000002</v>
      </c>
      <c r="Q25" s="21"/>
    </row>
    <row r="26" spans="1:28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Q26" s="42"/>
    </row>
    <row r="27" spans="1:28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Q27" s="43"/>
    </row>
    <row r="28" spans="1:28" ht="16.5" customHeight="1" x14ac:dyDescent="0.2">
      <c r="A28" s="9" t="s">
        <v>26</v>
      </c>
      <c r="B28" s="3">
        <v>23.158999999999999</v>
      </c>
      <c r="C28" s="2">
        <v>22.954999999999998</v>
      </c>
      <c r="D28" s="2">
        <v>33.887999999999998</v>
      </c>
      <c r="E28" s="2">
        <v>33.664000000000001</v>
      </c>
      <c r="F28" s="2">
        <v>38.590000000000003</v>
      </c>
      <c r="G28" s="2">
        <v>37.918999999999997</v>
      </c>
      <c r="H28" s="2">
        <v>40.542999999999999</v>
      </c>
      <c r="I28" s="2">
        <v>45.167000000000002</v>
      </c>
      <c r="J28" s="2">
        <v>42.14</v>
      </c>
      <c r="K28" s="2">
        <v>38.887999999999998</v>
      </c>
      <c r="L28" s="2">
        <v>51.558999999999997</v>
      </c>
      <c r="M28" s="2">
        <v>45.738</v>
      </c>
      <c r="N28" s="4">
        <f t="shared" si="0"/>
        <v>454.21</v>
      </c>
    </row>
    <row r="29" spans="1:28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Q29" s="38"/>
    </row>
    <row r="30" spans="1:28" ht="16.5" customHeight="1" x14ac:dyDescent="0.2">
      <c r="A30" s="9" t="s">
        <v>28</v>
      </c>
      <c r="B30" s="3">
        <v>877.16600000000005</v>
      </c>
      <c r="C30" s="2">
        <v>750</v>
      </c>
      <c r="D30" s="2">
        <v>880.43499999999995</v>
      </c>
      <c r="E30" s="2">
        <v>875</v>
      </c>
      <c r="F30" s="2">
        <v>831</v>
      </c>
      <c r="G30" s="2">
        <v>722</v>
      </c>
      <c r="H30" s="2">
        <v>836</v>
      </c>
      <c r="I30" s="2">
        <v>925.596</v>
      </c>
      <c r="J30" s="2">
        <v>764.62</v>
      </c>
      <c r="K30" s="2">
        <v>752</v>
      </c>
      <c r="L30" s="2">
        <v>769.78300000000002</v>
      </c>
      <c r="M30" s="2">
        <v>833.04600000000005</v>
      </c>
      <c r="N30" s="4">
        <f t="shared" si="0"/>
        <v>9816.6459999999988</v>
      </c>
    </row>
    <row r="31" spans="1:28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8" ht="16.5" customHeight="1" x14ac:dyDescent="0.2">
      <c r="A32" s="9" t="s">
        <v>30</v>
      </c>
      <c r="B32" s="3">
        <v>288.11500000000001</v>
      </c>
      <c r="C32" s="2">
        <v>262.64600000000002</v>
      </c>
      <c r="D32" s="2">
        <v>296.82400000000001</v>
      </c>
      <c r="E32" s="2">
        <v>267.041</v>
      </c>
      <c r="F32" s="2">
        <v>250.41499999999999</v>
      </c>
      <c r="G32" s="2">
        <v>225.238</v>
      </c>
      <c r="H32" s="2">
        <v>251.44</v>
      </c>
      <c r="I32" s="2">
        <v>282.55700000000002</v>
      </c>
      <c r="J32" s="2">
        <v>294.49299999999999</v>
      </c>
      <c r="K32" s="2">
        <v>280.38299999999998</v>
      </c>
      <c r="L32" s="2">
        <v>193.82499999999999</v>
      </c>
      <c r="M32" s="2">
        <v>288.10599999999999</v>
      </c>
      <c r="N32" s="4">
        <f t="shared" si="0"/>
        <v>3181.0829999999996</v>
      </c>
    </row>
    <row r="33" spans="1:14" ht="16.5" customHeight="1" x14ac:dyDescent="0.2">
      <c r="A33" s="9" t="s">
        <v>31</v>
      </c>
      <c r="B33" s="3">
        <v>32.475000000000001</v>
      </c>
      <c r="C33" s="2">
        <v>27.805</v>
      </c>
      <c r="D33" s="2">
        <v>27.207000000000001</v>
      </c>
      <c r="E33" s="2">
        <v>33.369</v>
      </c>
      <c r="F33" s="2">
        <v>4.7759999999999998</v>
      </c>
      <c r="G33" s="2">
        <v>20.356999999999999</v>
      </c>
      <c r="H33" s="2">
        <v>22.04</v>
      </c>
      <c r="I33" s="2">
        <v>19.085999999999999</v>
      </c>
      <c r="J33" s="2">
        <v>17.457000000000001</v>
      </c>
      <c r="K33" s="2">
        <v>19.023</v>
      </c>
      <c r="L33" s="2">
        <v>32.115000000000002</v>
      </c>
      <c r="M33" s="2">
        <v>26.832000000000001</v>
      </c>
      <c r="N33" s="4">
        <f t="shared" si="0"/>
        <v>282.54199999999997</v>
      </c>
    </row>
    <row r="34" spans="1:14" ht="16.5" customHeight="1" x14ac:dyDescent="0.2">
      <c r="A34" s="9" t="s">
        <v>32</v>
      </c>
      <c r="B34" s="3">
        <v>11.435</v>
      </c>
      <c r="C34" s="2">
        <v>11.211</v>
      </c>
      <c r="D34" s="2">
        <v>11.705</v>
      </c>
      <c r="E34" s="2">
        <v>2.8010000000000002</v>
      </c>
      <c r="F34" s="2">
        <v>1.008</v>
      </c>
      <c r="G34" s="2">
        <v>1.0129999999999999</v>
      </c>
      <c r="H34" s="2">
        <v>1.298</v>
      </c>
      <c r="I34" s="2">
        <v>0.89400000000000002</v>
      </c>
      <c r="J34" s="2">
        <v>3.4180000000000001</v>
      </c>
      <c r="K34" s="2">
        <v>4.33</v>
      </c>
      <c r="L34" s="2">
        <v>18.209</v>
      </c>
      <c r="M34" s="2">
        <v>7.7629999999999999</v>
      </c>
      <c r="N34" s="4">
        <f t="shared" si="0"/>
        <v>75.085000000000008</v>
      </c>
    </row>
    <row r="35" spans="1:14" ht="16.5" customHeight="1" x14ac:dyDescent="0.2">
      <c r="A35" s="9" t="s">
        <v>33</v>
      </c>
      <c r="B35" s="3">
        <v>64.807000000000002</v>
      </c>
      <c r="C35" s="2">
        <v>28.765999999999998</v>
      </c>
      <c r="D35" s="2">
        <v>29.17</v>
      </c>
      <c r="E35" s="2">
        <v>60.405999999999999</v>
      </c>
      <c r="F35" s="2">
        <v>68.805999999999997</v>
      </c>
      <c r="G35" s="2">
        <v>66.278000000000006</v>
      </c>
      <c r="H35" s="2">
        <v>69.385999999999996</v>
      </c>
      <c r="I35" s="2">
        <v>67.239000000000004</v>
      </c>
      <c r="J35" s="2">
        <v>68.885000000000005</v>
      </c>
      <c r="K35" s="2">
        <v>70.358999999999995</v>
      </c>
      <c r="L35" s="2">
        <v>72.953999999999994</v>
      </c>
      <c r="M35" s="2">
        <v>78.131</v>
      </c>
      <c r="N35" s="4">
        <f t="shared" si="0"/>
        <v>745.18700000000001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1914.2829999999999</v>
      </c>
      <c r="C37" s="2">
        <v>1639.9749999999999</v>
      </c>
      <c r="D37" s="2">
        <v>1984.97</v>
      </c>
      <c r="E37" s="2">
        <v>2063.837</v>
      </c>
      <c r="F37" s="2">
        <v>2013.114</v>
      </c>
      <c r="G37" s="2">
        <v>1778.0889999999999</v>
      </c>
      <c r="H37" s="2">
        <v>1870.91</v>
      </c>
      <c r="I37" s="2">
        <v>2045.961</v>
      </c>
      <c r="J37" s="2">
        <v>1860.328</v>
      </c>
      <c r="K37" s="2">
        <v>1910.251</v>
      </c>
      <c r="L37" s="2">
        <v>1767.4749999999999</v>
      </c>
      <c r="M37" s="2">
        <v>2002.153</v>
      </c>
      <c r="N37" s="4">
        <f t="shared" si="0"/>
        <v>22851.345999999998</v>
      </c>
    </row>
    <row r="38" spans="1:14" ht="16.5" customHeight="1" x14ac:dyDescent="0.2">
      <c r="A38" s="9" t="s">
        <v>36</v>
      </c>
      <c r="B38" s="3">
        <v>9.8849999999999998</v>
      </c>
      <c r="C38" s="2">
        <v>8.5969999999999995</v>
      </c>
      <c r="D38" s="2">
        <v>15.124000000000001</v>
      </c>
      <c r="E38" s="2">
        <v>16.545999999999999</v>
      </c>
      <c r="F38" s="2">
        <v>18.881</v>
      </c>
      <c r="G38" s="2">
        <v>17.024999999999999</v>
      </c>
      <c r="H38" s="2">
        <v>15.926</v>
      </c>
      <c r="I38" s="2">
        <v>13.263</v>
      </c>
      <c r="J38" s="2">
        <v>16.419</v>
      </c>
      <c r="K38" s="2">
        <v>17.654</v>
      </c>
      <c r="L38" s="2">
        <v>6.4219999999999997</v>
      </c>
      <c r="M38" s="2">
        <v>6.0149999999999997</v>
      </c>
      <c r="N38" s="4">
        <f t="shared" si="0"/>
        <v>161.75699999999998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3.6999999999999998E-2</v>
      </c>
      <c r="N40" s="4">
        <f t="shared" si="0"/>
        <v>3.6999999999999998E-2</v>
      </c>
    </row>
    <row r="41" spans="1:14" ht="16.5" customHeight="1" x14ac:dyDescent="0.2">
      <c r="A41" s="9" t="s">
        <v>39</v>
      </c>
      <c r="B41" s="3">
        <v>0.91500000000000004</v>
      </c>
      <c r="C41" s="2">
        <v>0</v>
      </c>
      <c r="D41" s="2">
        <v>0</v>
      </c>
      <c r="E41" s="2">
        <v>1.99</v>
      </c>
      <c r="F41" s="2">
        <v>16.882999999999999</v>
      </c>
      <c r="G41" s="2">
        <v>0</v>
      </c>
      <c r="H41" s="2">
        <v>7.0000000000000001E-3</v>
      </c>
      <c r="I41" s="2">
        <v>5.6000000000000001E-2</v>
      </c>
      <c r="J41" s="2">
        <v>6.4000000000000001E-2</v>
      </c>
      <c r="K41" s="2">
        <v>3.464</v>
      </c>
      <c r="L41" s="2">
        <v>1.7999999999999999E-2</v>
      </c>
      <c r="M41" s="2">
        <v>2.4E-2</v>
      </c>
      <c r="N41" s="4">
        <f t="shared" si="0"/>
        <v>23.421000000000003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463.10399999999998</v>
      </c>
      <c r="C43" s="2">
        <v>349.02199999999999</v>
      </c>
      <c r="D43" s="2">
        <v>453.38799999999998</v>
      </c>
      <c r="E43" s="2">
        <v>469.601</v>
      </c>
      <c r="F43" s="2">
        <v>406.46199999999999</v>
      </c>
      <c r="G43" s="2">
        <v>447.06200000000001</v>
      </c>
      <c r="H43" s="2">
        <v>425.464</v>
      </c>
      <c r="I43" s="2">
        <v>497.37</v>
      </c>
      <c r="J43" s="2">
        <v>440.75199999999995</v>
      </c>
      <c r="K43" s="2">
        <v>444.84200000000004</v>
      </c>
      <c r="L43" s="2">
        <v>273.02600000000001</v>
      </c>
      <c r="M43" s="2">
        <v>362.14299999999997</v>
      </c>
      <c r="N43" s="4">
        <f t="shared" si="0"/>
        <v>5032.235999999999</v>
      </c>
    </row>
    <row r="44" spans="1:14" ht="16.5" customHeight="1" x14ac:dyDescent="0.2">
      <c r="A44" s="9" t="s">
        <v>41</v>
      </c>
      <c r="B44" s="3">
        <v>31.436</v>
      </c>
      <c r="C44" s="2">
        <v>25.481999999999999</v>
      </c>
      <c r="D44" s="2">
        <v>30.916</v>
      </c>
      <c r="E44" s="2">
        <v>31.247</v>
      </c>
      <c r="F44" s="2">
        <v>32.749000000000002</v>
      </c>
      <c r="G44" s="2">
        <v>33.136000000000003</v>
      </c>
      <c r="H44" s="2">
        <v>32.488</v>
      </c>
      <c r="I44" s="2">
        <v>35.073</v>
      </c>
      <c r="J44" s="2">
        <v>23.081</v>
      </c>
      <c r="K44" s="2">
        <v>25.582999999999998</v>
      </c>
      <c r="L44" s="2">
        <v>17.896999999999998</v>
      </c>
      <c r="M44" s="2">
        <v>35.137</v>
      </c>
      <c r="N44" s="4">
        <f t="shared" si="0"/>
        <v>354.22500000000002</v>
      </c>
    </row>
    <row r="45" spans="1:14" ht="16.5" customHeight="1" x14ac:dyDescent="0.2">
      <c r="A45" s="9" t="s">
        <v>42</v>
      </c>
      <c r="B45" s="3">
        <v>201.15100000000001</v>
      </c>
      <c r="C45" s="2">
        <v>181.93899999999999</v>
      </c>
      <c r="D45" s="2">
        <v>182.44499999999999</v>
      </c>
      <c r="E45" s="2">
        <v>218.494</v>
      </c>
      <c r="F45" s="2">
        <v>200.41900000000001</v>
      </c>
      <c r="G45" s="2">
        <v>207.93299999999999</v>
      </c>
      <c r="H45" s="2">
        <v>250.62700000000001</v>
      </c>
      <c r="I45" s="2">
        <v>205.03100000000001</v>
      </c>
      <c r="J45" s="2">
        <v>229.399</v>
      </c>
      <c r="K45" s="2">
        <v>166.255</v>
      </c>
      <c r="L45" s="2">
        <v>160.93600000000001</v>
      </c>
      <c r="M45" s="2">
        <v>167.96100000000001</v>
      </c>
      <c r="N45" s="4">
        <f t="shared" si="0"/>
        <v>2372.59</v>
      </c>
    </row>
    <row r="46" spans="1:14" ht="16.5" customHeight="1" x14ac:dyDescent="0.2">
      <c r="A46" s="9" t="s">
        <v>43</v>
      </c>
      <c r="B46" s="3">
        <v>16.004999999999999</v>
      </c>
      <c r="C46" s="2">
        <v>14.253</v>
      </c>
      <c r="D46" s="2">
        <v>25.425999999999998</v>
      </c>
      <c r="E46" s="2">
        <v>15.363</v>
      </c>
      <c r="F46" s="2">
        <v>13.622</v>
      </c>
      <c r="G46" s="2">
        <v>16.603000000000002</v>
      </c>
      <c r="H46" s="2">
        <v>17.853999999999999</v>
      </c>
      <c r="I46" s="2">
        <v>11.364000000000001</v>
      </c>
      <c r="J46" s="2">
        <v>23.651</v>
      </c>
      <c r="K46" s="2">
        <v>17.356999999999999</v>
      </c>
      <c r="L46" s="2">
        <v>15.177</v>
      </c>
      <c r="M46" s="2">
        <v>14.881</v>
      </c>
      <c r="N46" s="4">
        <f t="shared" si="0"/>
        <v>201.55599999999998</v>
      </c>
    </row>
    <row r="47" spans="1:14" ht="16.5" customHeight="1" x14ac:dyDescent="0.2">
      <c r="A47" s="9" t="s">
        <v>44</v>
      </c>
      <c r="B47" s="3">
        <v>8.0830000000000002</v>
      </c>
      <c r="C47" s="2">
        <v>7.4329999999999998</v>
      </c>
      <c r="D47" s="2">
        <v>6.2460000000000004</v>
      </c>
      <c r="E47" s="2">
        <v>6.9960000000000004</v>
      </c>
      <c r="F47" s="2">
        <v>7.8890000000000002</v>
      </c>
      <c r="G47" s="2">
        <v>6.8079999999999998</v>
      </c>
      <c r="H47" s="2">
        <v>7.39</v>
      </c>
      <c r="I47" s="2">
        <v>5.9649999999999999</v>
      </c>
      <c r="J47" s="2">
        <v>6.2839999999999998</v>
      </c>
      <c r="K47" s="2">
        <v>5.8890000000000002</v>
      </c>
      <c r="L47" s="2">
        <v>2.98</v>
      </c>
      <c r="M47" s="2">
        <v>5.5880000000000001</v>
      </c>
      <c r="N47" s="4">
        <f t="shared" si="0"/>
        <v>77.551000000000002</v>
      </c>
    </row>
    <row r="48" spans="1:14" ht="16.5" customHeight="1" x14ac:dyDescent="0.2">
      <c r="A48" s="9" t="s">
        <v>45</v>
      </c>
      <c r="B48" s="3">
        <v>335</v>
      </c>
      <c r="C48" s="2">
        <v>280</v>
      </c>
      <c r="D48" s="2">
        <v>304.983</v>
      </c>
      <c r="E48" s="2">
        <v>303.58199999999999</v>
      </c>
      <c r="F48" s="2">
        <v>255.995</v>
      </c>
      <c r="G48" s="2">
        <v>251.203</v>
      </c>
      <c r="H48" s="2">
        <v>303.91800000000001</v>
      </c>
      <c r="I48" s="2">
        <v>320.221</v>
      </c>
      <c r="J48" s="2">
        <v>287.53399999999999</v>
      </c>
      <c r="K48" s="2">
        <v>306.851</v>
      </c>
      <c r="L48" s="2">
        <v>319.95699999999999</v>
      </c>
      <c r="M48" s="2">
        <v>333.72500000000002</v>
      </c>
      <c r="N48" s="4">
        <f t="shared" si="0"/>
        <v>3602.9690000000001</v>
      </c>
    </row>
    <row r="49" spans="1:14" ht="18" customHeight="1" x14ac:dyDescent="0.2">
      <c r="A49" s="10" t="s">
        <v>52</v>
      </c>
      <c r="B49" s="7">
        <v>342.32499999999999</v>
      </c>
      <c r="C49" s="5">
        <v>266.89300000000003</v>
      </c>
      <c r="D49" s="5">
        <v>306.20799999999963</v>
      </c>
      <c r="E49" s="5">
        <v>184.33600000000024</v>
      </c>
      <c r="F49" s="5">
        <v>199.32099999999997</v>
      </c>
      <c r="G49" s="5">
        <v>113.96199999999862</v>
      </c>
      <c r="H49" s="5">
        <v>152.85700000000003</v>
      </c>
      <c r="I49" s="5">
        <v>187.56700000000001</v>
      </c>
      <c r="J49" s="5">
        <v>264.29100000000017</v>
      </c>
      <c r="K49" s="5">
        <v>265.916</v>
      </c>
      <c r="L49" s="5">
        <v>66.843000000000757</v>
      </c>
      <c r="M49" s="5">
        <v>123.75999999999999</v>
      </c>
      <c r="N49" s="6">
        <f t="shared" si="0"/>
        <v>2474.2789999999995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spans="2:11" x14ac:dyDescent="0.2">
      <c r="I193"/>
      <c r="J193"/>
      <c r="K193"/>
    </row>
    <row r="194" spans="2:11" x14ac:dyDescent="0.2">
      <c r="I194"/>
      <c r="J194"/>
      <c r="K194"/>
    </row>
    <row r="195" spans="2:11" x14ac:dyDescent="0.2">
      <c r="I195"/>
      <c r="J195"/>
      <c r="K195"/>
    </row>
    <row r="196" spans="2:11" x14ac:dyDescent="0.2">
      <c r="I196"/>
      <c r="J196"/>
      <c r="K196"/>
    </row>
    <row r="197" spans="2:11" x14ac:dyDescent="0.2">
      <c r="I197"/>
      <c r="J197"/>
      <c r="K197"/>
    </row>
    <row r="198" spans="2:11" x14ac:dyDescent="0.2">
      <c r="I198"/>
      <c r="J198"/>
      <c r="K198"/>
    </row>
    <row r="199" spans="2:11" x14ac:dyDescent="0.2">
      <c r="I199"/>
      <c r="J199"/>
      <c r="K199"/>
    </row>
    <row r="200" spans="2:11" x14ac:dyDescent="0.2">
      <c r="I200"/>
      <c r="J200"/>
      <c r="K200"/>
    </row>
    <row r="201" spans="2:11" x14ac:dyDescent="0.2">
      <c r="I201"/>
      <c r="J201"/>
      <c r="K201"/>
    </row>
    <row r="202" spans="2:11" x14ac:dyDescent="0.2">
      <c r="B202" s="30"/>
      <c r="C202" s="30"/>
      <c r="D202" s="30"/>
      <c r="E202" s="30"/>
    </row>
    <row r="203" spans="2:11" x14ac:dyDescent="0.2">
      <c r="B203" s="30"/>
      <c r="C203" s="30"/>
      <c r="D203" s="30"/>
      <c r="E203" s="30"/>
    </row>
    <row r="204" spans="2:11" x14ac:dyDescent="0.2">
      <c r="B204" s="30"/>
      <c r="C204" s="30"/>
      <c r="D204" s="30"/>
      <c r="E204" s="30"/>
    </row>
    <row r="205" spans="2:11" x14ac:dyDescent="0.2">
      <c r="B205" s="30"/>
      <c r="C205" s="30"/>
      <c r="D205" s="30"/>
      <c r="E205" s="30"/>
    </row>
    <row r="206" spans="2:11" x14ac:dyDescent="0.2">
      <c r="B206" s="30"/>
      <c r="C206" s="30"/>
      <c r="D206" s="30"/>
      <c r="E206" s="30"/>
    </row>
    <row r="207" spans="2:11" x14ac:dyDescent="0.2">
      <c r="B207" s="30"/>
      <c r="C207" s="30"/>
      <c r="D207" s="30"/>
      <c r="E207" s="30"/>
    </row>
    <row r="208" spans="2:11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C25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43831</v>
      </c>
      <c r="C4" s="13">
        <v>43862</v>
      </c>
      <c r="D4" s="13">
        <v>43891</v>
      </c>
      <c r="E4" s="13">
        <v>43922</v>
      </c>
      <c r="F4" s="13">
        <v>43952</v>
      </c>
      <c r="G4" s="13">
        <v>43983</v>
      </c>
      <c r="H4" s="13">
        <v>44013</v>
      </c>
      <c r="I4" s="14">
        <v>44044</v>
      </c>
      <c r="J4" s="14">
        <v>44075</v>
      </c>
      <c r="K4" s="14">
        <v>44105</v>
      </c>
      <c r="L4" s="13">
        <v>44136</v>
      </c>
      <c r="M4" s="13">
        <v>44166</v>
      </c>
      <c r="N4" s="15" t="s">
        <v>54</v>
      </c>
    </row>
    <row r="5" spans="1:28" s="21" customFormat="1" ht="21" customHeight="1" x14ac:dyDescent="0.2">
      <c r="A5" s="17" t="s">
        <v>0</v>
      </c>
      <c r="B5" s="18">
        <v>3.4620000000000002</v>
      </c>
      <c r="C5" s="19">
        <v>5.6589999999999998</v>
      </c>
      <c r="D5" s="19">
        <v>6.2030000000000003</v>
      </c>
      <c r="E5" s="19">
        <v>1.9670000000000001</v>
      </c>
      <c r="F5" s="19">
        <v>1.141</v>
      </c>
      <c r="G5" s="19">
        <v>1.569</v>
      </c>
      <c r="H5" s="19">
        <v>1.8260000000000001</v>
      </c>
      <c r="I5" s="45">
        <v>1.131</v>
      </c>
      <c r="J5" s="19">
        <v>1.1930000000000001</v>
      </c>
      <c r="K5" s="19">
        <v>1.159</v>
      </c>
      <c r="L5" s="19">
        <v>1.153</v>
      </c>
      <c r="M5" s="19">
        <v>1.073</v>
      </c>
      <c r="N5" s="20">
        <f>SUM(B5:M5)</f>
        <v>27.536000000000001</v>
      </c>
      <c r="P5" s="34"/>
      <c r="Q5" s="47"/>
    </row>
    <row r="6" spans="1:28" s="21" customFormat="1" ht="21" customHeight="1" x14ac:dyDescent="0.2">
      <c r="A6" s="22" t="s">
        <v>1</v>
      </c>
      <c r="B6" s="23">
        <v>5000</v>
      </c>
      <c r="C6" s="24">
        <v>4877</v>
      </c>
      <c r="D6" s="24">
        <v>5065</v>
      </c>
      <c r="E6" s="24">
        <v>5155</v>
      </c>
      <c r="F6" s="24">
        <v>3729</v>
      </c>
      <c r="G6" s="24">
        <v>4018</v>
      </c>
      <c r="H6" s="24">
        <v>4535</v>
      </c>
      <c r="I6" s="24">
        <v>4750</v>
      </c>
      <c r="J6" s="24">
        <v>4213</v>
      </c>
      <c r="K6" s="24">
        <v>4825</v>
      </c>
      <c r="L6" s="24">
        <v>4179</v>
      </c>
      <c r="M6" s="24">
        <v>4506</v>
      </c>
      <c r="N6" s="25">
        <f>SUM(B6:M6)</f>
        <v>54852</v>
      </c>
      <c r="P6" s="34"/>
      <c r="Q6" s="47"/>
    </row>
    <row r="7" spans="1:28" s="21" customFormat="1" ht="21" customHeight="1" x14ac:dyDescent="0.2">
      <c r="A7" s="26" t="s">
        <v>2</v>
      </c>
      <c r="B7" s="27">
        <v>84</v>
      </c>
      <c r="C7" s="28">
        <v>-20</v>
      </c>
      <c r="D7" s="28">
        <v>130</v>
      </c>
      <c r="E7" s="28">
        <v>-77</v>
      </c>
      <c r="F7" s="28">
        <v>-88</v>
      </c>
      <c r="G7" s="28">
        <v>56</v>
      </c>
      <c r="H7" s="28">
        <v>181</v>
      </c>
      <c r="I7" s="28">
        <v>259</v>
      </c>
      <c r="J7" s="28">
        <v>60</v>
      </c>
      <c r="K7" s="28">
        <v>-120</v>
      </c>
      <c r="L7" s="28">
        <v>100</v>
      </c>
      <c r="M7" s="28">
        <v>-21</v>
      </c>
      <c r="N7" s="29">
        <f t="shared" ref="N7:N49" si="0">SUM(B7:M7)</f>
        <v>544</v>
      </c>
      <c r="P7" s="34"/>
      <c r="Q7" s="47"/>
    </row>
    <row r="8" spans="1:28" s="21" customFormat="1" ht="21" customHeight="1" x14ac:dyDescent="0.2">
      <c r="A8" s="26" t="s">
        <v>3</v>
      </c>
      <c r="B8" s="27">
        <v>-351</v>
      </c>
      <c r="C8" s="28">
        <v>40</v>
      </c>
      <c r="D8" s="28">
        <v>-54</v>
      </c>
      <c r="E8" s="28">
        <v>805</v>
      </c>
      <c r="F8" s="28">
        <v>-824</v>
      </c>
      <c r="G8" s="28">
        <v>-43</v>
      </c>
      <c r="H8" s="28">
        <v>212</v>
      </c>
      <c r="I8" s="28">
        <v>178</v>
      </c>
      <c r="J8" s="28">
        <v>-249</v>
      </c>
      <c r="K8" s="28">
        <v>320</v>
      </c>
      <c r="L8" s="28">
        <v>-389</v>
      </c>
      <c r="M8" s="28">
        <v>84</v>
      </c>
      <c r="N8" s="29">
        <f t="shared" si="0"/>
        <v>-271</v>
      </c>
      <c r="P8" s="34"/>
      <c r="Q8" s="47"/>
    </row>
    <row r="9" spans="1:28" s="21" customFormat="1" ht="21" customHeight="1" x14ac:dyDescent="0.2">
      <c r="A9" s="26" t="s">
        <v>4</v>
      </c>
      <c r="B9" s="27">
        <v>-58</v>
      </c>
      <c r="C9" s="28">
        <v>4</v>
      </c>
      <c r="D9" s="28">
        <v>-28</v>
      </c>
      <c r="E9" s="28">
        <v>69</v>
      </c>
      <c r="F9" s="28">
        <v>-40</v>
      </c>
      <c r="G9" s="28">
        <v>-223</v>
      </c>
      <c r="H9" s="28">
        <v>36</v>
      </c>
      <c r="I9" s="28">
        <v>51</v>
      </c>
      <c r="J9" s="28">
        <v>63</v>
      </c>
      <c r="K9" s="28">
        <v>-123</v>
      </c>
      <c r="L9" s="28">
        <v>112</v>
      </c>
      <c r="M9" s="28">
        <v>-258</v>
      </c>
      <c r="N9" s="29">
        <f t="shared" si="0"/>
        <v>-395</v>
      </c>
      <c r="P9" s="34"/>
      <c r="Q9" s="47"/>
    </row>
    <row r="10" spans="1:28" s="21" customFormat="1" ht="21" customHeight="1" x14ac:dyDescent="0.2">
      <c r="A10" s="26" t="s">
        <v>5</v>
      </c>
      <c r="B10" s="27">
        <v>13</v>
      </c>
      <c r="C10" s="28">
        <v>31</v>
      </c>
      <c r="D10" s="28">
        <v>47</v>
      </c>
      <c r="E10" s="28">
        <v>155</v>
      </c>
      <c r="F10" s="28">
        <v>68</v>
      </c>
      <c r="G10" s="28">
        <v>46</v>
      </c>
      <c r="H10" s="28">
        <v>32</v>
      </c>
      <c r="I10" s="28">
        <v>62</v>
      </c>
      <c r="J10" s="28">
        <v>17</v>
      </c>
      <c r="K10" s="28">
        <v>16</v>
      </c>
      <c r="L10" s="28">
        <v>17</v>
      </c>
      <c r="M10" s="28">
        <v>21</v>
      </c>
      <c r="N10" s="29">
        <f t="shared" si="0"/>
        <v>525</v>
      </c>
      <c r="P10" s="34"/>
      <c r="Q10" s="47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47"/>
    </row>
    <row r="12" spans="1:28" s="31" customFormat="1" ht="21" customHeight="1" x14ac:dyDescent="0.2">
      <c r="A12" s="22" t="s">
        <v>7</v>
      </c>
      <c r="B12" s="24">
        <v>5509.4620000000004</v>
      </c>
      <c r="C12" s="24">
        <v>4849.6589999999997</v>
      </c>
      <c r="D12" s="24">
        <v>5330.2030000000004</v>
      </c>
      <c r="E12" s="24">
        <v>4360.9669999999996</v>
      </c>
      <c r="F12" s="24">
        <v>4574.1409999999996</v>
      </c>
      <c r="G12" s="24">
        <v>4387.5689999999995</v>
      </c>
      <c r="H12" s="24">
        <v>4501.826</v>
      </c>
      <c r="I12" s="24">
        <v>4843.1310000000003</v>
      </c>
      <c r="J12" s="24">
        <v>4477.1930000000002</v>
      </c>
      <c r="K12" s="24">
        <v>4525.1589999999997</v>
      </c>
      <c r="L12" s="24">
        <v>4574.1530000000002</v>
      </c>
      <c r="M12" s="24">
        <v>4681.0730000000003</v>
      </c>
      <c r="N12" s="25">
        <f>SUM(B12:M12)</f>
        <v>56614.535999999993</v>
      </c>
      <c r="P12" s="34"/>
      <c r="Q12" s="47"/>
    </row>
    <row r="13" spans="1:28" s="21" customFormat="1" ht="21" customHeight="1" x14ac:dyDescent="0.2">
      <c r="A13" s="26" t="s">
        <v>12</v>
      </c>
      <c r="B13" s="27">
        <v>5354</v>
      </c>
      <c r="C13" s="28">
        <v>4843</v>
      </c>
      <c r="D13" s="28">
        <v>5123</v>
      </c>
      <c r="E13" s="28">
        <v>4354</v>
      </c>
      <c r="F13" s="28">
        <v>4555</v>
      </c>
      <c r="G13" s="28">
        <v>4063</v>
      </c>
      <c r="H13" s="28">
        <v>4325</v>
      </c>
      <c r="I13" s="28">
        <v>4573</v>
      </c>
      <c r="J13" s="28">
        <v>4465</v>
      </c>
      <c r="K13" s="28">
        <v>4506</v>
      </c>
      <c r="L13" s="28">
        <v>4569</v>
      </c>
      <c r="M13" s="28">
        <v>4423</v>
      </c>
      <c r="N13" s="29">
        <f t="shared" si="0"/>
        <v>55153</v>
      </c>
      <c r="P13" s="34"/>
      <c r="Q13" s="47"/>
    </row>
    <row r="14" spans="1:28" s="21" customFormat="1" ht="21" customHeight="1" x14ac:dyDescent="0.2">
      <c r="A14" s="26" t="s">
        <v>8</v>
      </c>
      <c r="B14" s="27">
        <v>49</v>
      </c>
      <c r="C14" s="28">
        <v>64.27599999999893</v>
      </c>
      <c r="D14" s="28">
        <v>56</v>
      </c>
      <c r="E14" s="28">
        <v>33.164999999999964</v>
      </c>
      <c r="F14" s="28">
        <v>78</v>
      </c>
      <c r="G14" s="28">
        <v>25.11200000000008</v>
      </c>
      <c r="H14" s="28">
        <v>38.951999999999316</v>
      </c>
      <c r="I14" s="46">
        <v>56</v>
      </c>
      <c r="J14" s="28">
        <v>116.27899999999954</v>
      </c>
      <c r="K14" s="28">
        <v>78.942000000000007</v>
      </c>
      <c r="L14" s="28">
        <v>129.08899999999994</v>
      </c>
      <c r="M14" s="28">
        <v>82.503000000000611</v>
      </c>
      <c r="N14" s="29">
        <f t="shared" si="0"/>
        <v>807.31799999999839</v>
      </c>
      <c r="P14" s="36"/>
      <c r="Q14" s="47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J15" si="1">SUM(B16:B49)</f>
        <v>5460</v>
      </c>
      <c r="C15" s="24">
        <f t="shared" si="1"/>
        <v>4785.7240000000011</v>
      </c>
      <c r="D15" s="24">
        <f t="shared" si="1"/>
        <v>5274</v>
      </c>
      <c r="E15" s="24">
        <f t="shared" si="1"/>
        <v>4327.835</v>
      </c>
      <c r="F15" s="24">
        <f t="shared" si="1"/>
        <v>4496</v>
      </c>
      <c r="G15" s="24">
        <f t="shared" si="1"/>
        <v>4362.8879999999999</v>
      </c>
      <c r="H15" s="24">
        <f t="shared" si="1"/>
        <v>4463.0480000000007</v>
      </c>
      <c r="I15" s="24">
        <f t="shared" si="1"/>
        <v>4787</v>
      </c>
      <c r="J15" s="24">
        <f t="shared" si="1"/>
        <v>4360.7210000000005</v>
      </c>
      <c r="K15" s="24">
        <f>SUM(K16:K49)</f>
        <v>4446.058</v>
      </c>
      <c r="L15" s="24">
        <f>SUM(L16:L49)</f>
        <v>4444.9110000000001</v>
      </c>
      <c r="M15" s="24">
        <f>SUM(M16:M49)</f>
        <v>4598.4969999999994</v>
      </c>
      <c r="N15" s="25">
        <f t="shared" si="0"/>
        <v>55806.682000000001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159.655</v>
      </c>
      <c r="C16" s="2">
        <v>144.506</v>
      </c>
      <c r="D16" s="2">
        <v>167.48599999999999</v>
      </c>
      <c r="E16" s="2">
        <v>148.904</v>
      </c>
      <c r="F16" s="2">
        <v>198.94</v>
      </c>
      <c r="G16" s="2">
        <v>157.857</v>
      </c>
      <c r="H16" s="2">
        <v>158.17599999999999</v>
      </c>
      <c r="I16" s="2">
        <v>165.13200000000001</v>
      </c>
      <c r="J16" s="2">
        <v>153.922</v>
      </c>
      <c r="K16" s="2">
        <v>155.38200000000001</v>
      </c>
      <c r="L16" s="2">
        <v>141.922</v>
      </c>
      <c r="M16" s="2">
        <v>155.453</v>
      </c>
      <c r="N16" s="4">
        <f t="shared" si="0"/>
        <v>1907.335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83.444999999999993</v>
      </c>
      <c r="C18" s="2">
        <v>63.042999999999999</v>
      </c>
      <c r="D18" s="2">
        <v>62</v>
      </c>
      <c r="E18" s="2">
        <v>70</v>
      </c>
      <c r="F18" s="2">
        <v>70.778999999999996</v>
      </c>
      <c r="G18" s="2">
        <v>76.322999999999993</v>
      </c>
      <c r="H18" s="2">
        <v>56</v>
      </c>
      <c r="I18" s="2">
        <v>52</v>
      </c>
      <c r="J18" s="2">
        <v>51</v>
      </c>
      <c r="K18" s="2">
        <v>61</v>
      </c>
      <c r="L18" s="2">
        <v>107.985</v>
      </c>
      <c r="M18" s="2">
        <v>100.729</v>
      </c>
      <c r="N18" s="4">
        <f t="shared" si="0"/>
        <v>854.30399999999997</v>
      </c>
    </row>
    <row r="19" spans="1:29" ht="16.5" customHeight="1" x14ac:dyDescent="0.2">
      <c r="A19" s="9" t="s">
        <v>17</v>
      </c>
      <c r="B19" s="3">
        <v>30.555000000000007</v>
      </c>
      <c r="C19" s="2">
        <v>3.9570000000000007</v>
      </c>
      <c r="D19" s="2">
        <v>0</v>
      </c>
      <c r="E19" s="2">
        <v>0</v>
      </c>
      <c r="F19" s="2">
        <v>13.221000000000004</v>
      </c>
      <c r="G19" s="2">
        <v>12.677000000000007</v>
      </c>
      <c r="H19" s="2">
        <v>0</v>
      </c>
      <c r="I19" s="2">
        <v>0</v>
      </c>
      <c r="J19" s="2">
        <v>0</v>
      </c>
      <c r="K19" s="2">
        <v>0</v>
      </c>
      <c r="L19" s="2">
        <v>2.0150000000000006</v>
      </c>
      <c r="M19" s="2">
        <v>3.2710000000000008</v>
      </c>
      <c r="N19" s="4">
        <f t="shared" si="0"/>
        <v>65.696000000000026</v>
      </c>
    </row>
    <row r="20" spans="1:29" ht="16.5" customHeight="1" x14ac:dyDescent="0.2">
      <c r="A20" s="9" t="s">
        <v>18</v>
      </c>
      <c r="B20" s="3">
        <v>114</v>
      </c>
      <c r="C20" s="2">
        <v>122</v>
      </c>
      <c r="D20" s="2">
        <v>122</v>
      </c>
      <c r="E20" s="2">
        <v>129</v>
      </c>
      <c r="F20" s="2">
        <v>130</v>
      </c>
      <c r="G20" s="2">
        <v>127</v>
      </c>
      <c r="H20" s="2">
        <v>132</v>
      </c>
      <c r="I20" s="2">
        <v>129</v>
      </c>
      <c r="J20" s="2">
        <v>101</v>
      </c>
      <c r="K20" s="2">
        <v>70</v>
      </c>
      <c r="L20" s="2">
        <v>67</v>
      </c>
      <c r="M20" s="2">
        <v>66</v>
      </c>
      <c r="N20" s="4">
        <f t="shared" si="0"/>
        <v>1309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29" ht="16.5" customHeight="1" x14ac:dyDescent="0.2">
      <c r="A22" s="9" t="s">
        <v>20</v>
      </c>
      <c r="B22" s="3">
        <v>85.561999999999998</v>
      </c>
      <c r="C22" s="2">
        <v>86.222999999999999</v>
      </c>
      <c r="D22" s="2">
        <v>84.478999999999999</v>
      </c>
      <c r="E22" s="2">
        <v>79.793999999999997</v>
      </c>
      <c r="F22" s="2">
        <v>88.593999999999994</v>
      </c>
      <c r="G22" s="2">
        <v>90.638999999999996</v>
      </c>
      <c r="H22" s="2">
        <v>89.468999999999994</v>
      </c>
      <c r="I22" s="2">
        <v>79.757999999999996</v>
      </c>
      <c r="J22" s="2">
        <v>82.022999999999996</v>
      </c>
      <c r="K22" s="2">
        <v>88.335999999999999</v>
      </c>
      <c r="L22" s="2">
        <v>86.864999999999995</v>
      </c>
      <c r="M22" s="2">
        <v>111.43300000000001</v>
      </c>
      <c r="N22" s="4">
        <f t="shared" si="0"/>
        <v>1053.1750000000002</v>
      </c>
    </row>
    <row r="23" spans="1:29" ht="16.5" customHeight="1" x14ac:dyDescent="0.2">
      <c r="A23" s="9" t="s">
        <v>21</v>
      </c>
      <c r="B23" s="3">
        <v>8.782</v>
      </c>
      <c r="C23" s="2">
        <v>7.3360000000000003</v>
      </c>
      <c r="D23" s="2">
        <v>6.694</v>
      </c>
      <c r="E23" s="2">
        <v>0.99</v>
      </c>
      <c r="F23" s="2">
        <v>6.0279999999999996</v>
      </c>
      <c r="G23" s="2">
        <v>3.74</v>
      </c>
      <c r="H23" s="2">
        <v>3.6059999999999999</v>
      </c>
      <c r="I23" s="2">
        <v>5.96</v>
      </c>
      <c r="J23" s="2">
        <v>5.8789999999999996</v>
      </c>
      <c r="K23" s="2">
        <v>3.9140000000000001</v>
      </c>
      <c r="L23" s="2">
        <v>4.5739999999999998</v>
      </c>
      <c r="M23" s="2">
        <v>1.254</v>
      </c>
      <c r="N23" s="4">
        <f t="shared" si="0"/>
        <v>58.756999999999998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29" ht="16.5" customHeight="1" x14ac:dyDescent="0.2">
      <c r="A25" s="9" t="s">
        <v>23</v>
      </c>
      <c r="B25" s="3">
        <v>666.65599999999995</v>
      </c>
      <c r="C25" s="2">
        <v>526.44100000000003</v>
      </c>
      <c r="D25" s="2">
        <v>566.827</v>
      </c>
      <c r="E25" s="2">
        <v>483.21600000000001</v>
      </c>
      <c r="F25" s="2">
        <v>510.37799999999999</v>
      </c>
      <c r="G25" s="2">
        <v>506.62099999999998</v>
      </c>
      <c r="H25" s="2">
        <v>544.92499999999995</v>
      </c>
      <c r="I25" s="2">
        <v>614.28200000000004</v>
      </c>
      <c r="J25" s="2">
        <v>543.09799999999996</v>
      </c>
      <c r="K25" s="2">
        <v>600.75</v>
      </c>
      <c r="L25" s="2">
        <v>550.56100000000004</v>
      </c>
      <c r="M25" s="2">
        <v>597.71699999999998</v>
      </c>
      <c r="N25" s="4">
        <f t="shared" si="0"/>
        <v>6711.4719999999998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29" ht="16.5" customHeight="1" x14ac:dyDescent="0.2">
      <c r="A28" s="9" t="s">
        <v>26</v>
      </c>
      <c r="B28" s="3">
        <v>50.15</v>
      </c>
      <c r="C28" s="2">
        <v>45.906999999999996</v>
      </c>
      <c r="D28" s="2">
        <v>34.237000000000002</v>
      </c>
      <c r="E28" s="2">
        <v>0</v>
      </c>
      <c r="F28" s="2">
        <v>1.012</v>
      </c>
      <c r="G28" s="2">
        <v>0</v>
      </c>
      <c r="H28" s="2">
        <v>1.6180000000000001</v>
      </c>
      <c r="I28" s="2">
        <v>9.3569999999999993</v>
      </c>
      <c r="J28" s="2">
        <v>1.67</v>
      </c>
      <c r="K28" s="2">
        <v>3.754</v>
      </c>
      <c r="L28" s="2">
        <v>0.56399999999999995</v>
      </c>
      <c r="M28" s="2">
        <v>7.05</v>
      </c>
      <c r="N28" s="4">
        <f t="shared" si="0"/>
        <v>155.31899999999996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</row>
    <row r="30" spans="1:29" ht="16.5" customHeight="1" x14ac:dyDescent="0.2">
      <c r="A30" s="9" t="s">
        <v>28</v>
      </c>
      <c r="B30" s="3">
        <v>889.61300000000006</v>
      </c>
      <c r="C30" s="2">
        <v>746.27200000000005</v>
      </c>
      <c r="D30" s="2">
        <v>743</v>
      </c>
      <c r="E30" s="2">
        <v>627.92700000000002</v>
      </c>
      <c r="F30" s="2">
        <v>523.29100000000005</v>
      </c>
      <c r="G30" s="2">
        <v>556.80600000000004</v>
      </c>
      <c r="H30" s="2">
        <v>604</v>
      </c>
      <c r="I30" s="2">
        <v>661</v>
      </c>
      <c r="J30" s="2">
        <v>624</v>
      </c>
      <c r="K30" s="2">
        <v>621</v>
      </c>
      <c r="L30" s="2">
        <v>645</v>
      </c>
      <c r="M30" s="2">
        <v>596.59799999999996</v>
      </c>
      <c r="N30" s="4">
        <f t="shared" si="0"/>
        <v>7838.5070000000005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268.80900000000003</v>
      </c>
      <c r="C32" s="2">
        <v>260.65199999999999</v>
      </c>
      <c r="D32" s="2">
        <v>275.73700000000002</v>
      </c>
      <c r="E32" s="2">
        <v>271</v>
      </c>
      <c r="F32" s="2">
        <v>252.10499999999999</v>
      </c>
      <c r="G32" s="2">
        <v>260.23</v>
      </c>
      <c r="H32" s="2">
        <v>287</v>
      </c>
      <c r="I32" s="2">
        <v>312.60599999999999</v>
      </c>
      <c r="J32" s="2">
        <v>256.54199999999997</v>
      </c>
      <c r="K32" s="2">
        <v>266.779</v>
      </c>
      <c r="L32" s="2">
        <v>251</v>
      </c>
      <c r="M32" s="2">
        <v>262.40100000000001</v>
      </c>
      <c r="N32" s="4">
        <f t="shared" si="0"/>
        <v>3224.8609999999999</v>
      </c>
    </row>
    <row r="33" spans="1:14" ht="16.5" customHeight="1" x14ac:dyDescent="0.2">
      <c r="A33" s="9" t="s">
        <v>31</v>
      </c>
      <c r="B33" s="3">
        <v>38.479999999999997</v>
      </c>
      <c r="C33" s="2">
        <v>35.481000000000002</v>
      </c>
      <c r="D33" s="2">
        <v>24.295999999999999</v>
      </c>
      <c r="E33" s="2">
        <v>26.219000000000001</v>
      </c>
      <c r="F33" s="2">
        <v>35.137999999999998</v>
      </c>
      <c r="G33" s="2">
        <v>36.204000000000001</v>
      </c>
      <c r="H33" s="2">
        <v>36.598999999999997</v>
      </c>
      <c r="I33" s="2">
        <v>20.431000000000001</v>
      </c>
      <c r="J33" s="2">
        <v>26.992999999999999</v>
      </c>
      <c r="K33" s="2">
        <v>34.365000000000002</v>
      </c>
      <c r="L33" s="2">
        <v>25.295999999999999</v>
      </c>
      <c r="M33" s="2">
        <v>39.801000000000002</v>
      </c>
      <c r="N33" s="4">
        <f t="shared" si="0"/>
        <v>379.303</v>
      </c>
    </row>
    <row r="34" spans="1:14" ht="16.5" customHeight="1" x14ac:dyDescent="0.2">
      <c r="A34" s="9" t="s">
        <v>32</v>
      </c>
      <c r="B34" s="3">
        <v>9.56</v>
      </c>
      <c r="C34" s="2">
        <v>2.2349999999999999</v>
      </c>
      <c r="D34" s="2">
        <v>6.9859999999999998</v>
      </c>
      <c r="E34" s="2">
        <v>7.6070000000000002</v>
      </c>
      <c r="F34" s="2">
        <v>3.6509999999999998</v>
      </c>
      <c r="G34" s="2">
        <v>4.4400000000000004</v>
      </c>
      <c r="H34" s="2">
        <v>1.19</v>
      </c>
      <c r="I34" s="2">
        <v>0.83899999999999997</v>
      </c>
      <c r="J34" s="2">
        <v>4.75</v>
      </c>
      <c r="K34" s="2">
        <v>4.2649999999999997</v>
      </c>
      <c r="L34" s="2">
        <v>7.3129999999999997</v>
      </c>
      <c r="M34" s="2">
        <v>10.196999999999999</v>
      </c>
      <c r="N34" s="4">
        <f t="shared" si="0"/>
        <v>63.033000000000001</v>
      </c>
    </row>
    <row r="35" spans="1:14" ht="16.5" customHeight="1" x14ac:dyDescent="0.2">
      <c r="A35" s="9" t="s">
        <v>33</v>
      </c>
      <c r="B35" s="3">
        <v>74.207999999999998</v>
      </c>
      <c r="C35" s="2">
        <v>71.117999999999995</v>
      </c>
      <c r="D35" s="2">
        <v>75.489000000000004</v>
      </c>
      <c r="E35" s="2">
        <v>83.864999999999995</v>
      </c>
      <c r="F35" s="2">
        <v>74.731999999999999</v>
      </c>
      <c r="G35" s="2">
        <v>56.110999999999997</v>
      </c>
      <c r="H35" s="2">
        <v>70.918000000000006</v>
      </c>
      <c r="I35" s="2">
        <v>80.75</v>
      </c>
      <c r="J35" s="2">
        <v>80.063999999999993</v>
      </c>
      <c r="K35" s="2">
        <v>69.706000000000003</v>
      </c>
      <c r="L35" s="2">
        <v>79.402000000000001</v>
      </c>
      <c r="M35" s="2">
        <v>73.451999999999998</v>
      </c>
      <c r="N35" s="4">
        <f t="shared" si="0"/>
        <v>889.81500000000005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1869.9359999999999</v>
      </c>
      <c r="C37" s="2">
        <v>1696.729</v>
      </c>
      <c r="D37" s="2">
        <v>1913.5630000000001</v>
      </c>
      <c r="E37" s="2">
        <v>1505.9389999999999</v>
      </c>
      <c r="F37" s="2">
        <v>1558.329</v>
      </c>
      <c r="G37" s="2">
        <v>1553.5349999999999</v>
      </c>
      <c r="H37" s="2">
        <v>1529.6190000000001</v>
      </c>
      <c r="I37" s="2">
        <v>1719.325</v>
      </c>
      <c r="J37" s="2">
        <v>1501.6660000000002</v>
      </c>
      <c r="K37" s="2">
        <v>1607.077</v>
      </c>
      <c r="L37" s="2">
        <v>1566.5520000000001</v>
      </c>
      <c r="M37" s="2">
        <v>1670.472</v>
      </c>
      <c r="N37" s="4">
        <f t="shared" si="0"/>
        <v>19692.742000000002</v>
      </c>
    </row>
    <row r="38" spans="1:14" ht="16.5" customHeight="1" x14ac:dyDescent="0.2">
      <c r="A38" s="9" t="s">
        <v>36</v>
      </c>
      <c r="B38" s="3">
        <v>29.007000000000001</v>
      </c>
      <c r="C38" s="2">
        <v>12.785</v>
      </c>
      <c r="D38" s="2">
        <v>11.929</v>
      </c>
      <c r="E38" s="2">
        <v>4.37</v>
      </c>
      <c r="F38" s="2">
        <v>6.0449999999999999</v>
      </c>
      <c r="G38" s="2">
        <v>7.48</v>
      </c>
      <c r="H38" s="2">
        <v>10.673999999999999</v>
      </c>
      <c r="I38" s="2">
        <v>11.048999999999999</v>
      </c>
      <c r="J38" s="2">
        <v>8.9849999999999994</v>
      </c>
      <c r="K38" s="2">
        <v>7.8079999999999998</v>
      </c>
      <c r="L38" s="2">
        <v>7.4370000000000003</v>
      </c>
      <c r="M38" s="2">
        <v>6.6769999999999996</v>
      </c>
      <c r="N38" s="4">
        <f t="shared" si="0"/>
        <v>124.24600000000001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0</v>
      </c>
    </row>
    <row r="41" spans="1:14" ht="16.5" customHeight="1" x14ac:dyDescent="0.2">
      <c r="A41" s="9" t="s">
        <v>39</v>
      </c>
      <c r="B41" s="3">
        <v>12.936</v>
      </c>
      <c r="C41" s="2">
        <v>0.90500000000000003</v>
      </c>
      <c r="D41" s="2">
        <v>23.843</v>
      </c>
      <c r="E41" s="2">
        <v>0.57599999999999996</v>
      </c>
      <c r="F41" s="2">
        <v>4.3999999999999997E-2</v>
      </c>
      <c r="G41" s="2">
        <v>4.5999999999999999E-2</v>
      </c>
      <c r="H41" s="2">
        <v>0.224</v>
      </c>
      <c r="I41" s="2">
        <v>3.2000000000000001E-2</v>
      </c>
      <c r="J41" s="2">
        <v>4.1000000000000002E-2</v>
      </c>
      <c r="K41" s="2">
        <v>0.14299999999999999</v>
      </c>
      <c r="L41" s="2">
        <v>13.776</v>
      </c>
      <c r="M41" s="2">
        <v>22.678000000000001</v>
      </c>
      <c r="N41" s="4">
        <f t="shared" si="0"/>
        <v>75.243999999999986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332.06400000000002</v>
      </c>
      <c r="C43" s="2">
        <v>314.298</v>
      </c>
      <c r="D43" s="2">
        <v>352.15699999999998</v>
      </c>
      <c r="E43" s="2">
        <v>184.91900000000001</v>
      </c>
      <c r="F43" s="2">
        <v>172.267</v>
      </c>
      <c r="G43" s="2">
        <v>186.17400000000001</v>
      </c>
      <c r="H43" s="2">
        <v>231.62200000000001</v>
      </c>
      <c r="I43" s="2">
        <v>212.96799999999999</v>
      </c>
      <c r="J43" s="2">
        <v>96.087999999999994</v>
      </c>
      <c r="K43" s="2">
        <v>109.779</v>
      </c>
      <c r="L43" s="2">
        <v>78.649000000000001</v>
      </c>
      <c r="M43" s="2">
        <v>96.313999999999993</v>
      </c>
      <c r="N43" s="4">
        <f t="shared" si="0"/>
        <v>2367.299</v>
      </c>
    </row>
    <row r="44" spans="1:14" ht="16.5" customHeight="1" x14ac:dyDescent="0.2">
      <c r="A44" s="9" t="s">
        <v>41</v>
      </c>
      <c r="B44" s="3">
        <v>32.081000000000003</v>
      </c>
      <c r="C44" s="2">
        <v>24.17</v>
      </c>
      <c r="D44" s="2">
        <v>23.867000000000001</v>
      </c>
      <c r="E44" s="2">
        <v>22.928000000000001</v>
      </c>
      <c r="F44" s="2">
        <v>22.992000000000001</v>
      </c>
      <c r="G44" s="2">
        <v>24.634</v>
      </c>
      <c r="H44" s="2">
        <v>15.17</v>
      </c>
      <c r="I44" s="2">
        <v>27.440999999999999</v>
      </c>
      <c r="J44" s="2">
        <v>33.203000000000003</v>
      </c>
      <c r="K44" s="2">
        <v>29.5</v>
      </c>
      <c r="L44" s="2">
        <v>29.11</v>
      </c>
      <c r="M44" s="2">
        <v>31.492999999999999</v>
      </c>
      <c r="N44" s="4">
        <f t="shared" si="0"/>
        <v>316.589</v>
      </c>
    </row>
    <row r="45" spans="1:14" ht="16.5" customHeight="1" x14ac:dyDescent="0.2">
      <c r="A45" s="9" t="s">
        <v>42</v>
      </c>
      <c r="B45" s="3">
        <v>160.904</v>
      </c>
      <c r="C45" s="2">
        <v>129.67400000000001</v>
      </c>
      <c r="D45" s="2">
        <v>159.815</v>
      </c>
      <c r="E45" s="2">
        <v>118.827</v>
      </c>
      <c r="F45" s="2">
        <v>160.554</v>
      </c>
      <c r="G45" s="2">
        <v>182.49799999999999</v>
      </c>
      <c r="H45" s="2">
        <v>177.95500000000001</v>
      </c>
      <c r="I45" s="2">
        <v>164.68299999999999</v>
      </c>
      <c r="J45" s="2">
        <v>178.23099999999999</v>
      </c>
      <c r="K45" s="2">
        <v>177.34399999999999</v>
      </c>
      <c r="L45" s="2">
        <v>158.392</v>
      </c>
      <c r="M45" s="2">
        <v>138.77799999999999</v>
      </c>
      <c r="N45" s="4">
        <f t="shared" si="0"/>
        <v>1907.655</v>
      </c>
    </row>
    <row r="46" spans="1:14" ht="16.5" customHeight="1" x14ac:dyDescent="0.2">
      <c r="A46" s="9" t="s">
        <v>43</v>
      </c>
      <c r="B46" s="3">
        <v>15.957000000000001</v>
      </c>
      <c r="C46" s="2">
        <v>11.685</v>
      </c>
      <c r="D46" s="2">
        <v>15.032999999999999</v>
      </c>
      <c r="E46" s="2">
        <v>9.2799999999999994</v>
      </c>
      <c r="F46" s="2">
        <v>9.9350000000000005</v>
      </c>
      <c r="G46" s="2">
        <v>14.496</v>
      </c>
      <c r="H46" s="2">
        <v>7.91</v>
      </c>
      <c r="I46" s="2">
        <v>6.4340000000000002</v>
      </c>
      <c r="J46" s="2">
        <v>11.311</v>
      </c>
      <c r="K46" s="2">
        <v>9.34</v>
      </c>
      <c r="L46" s="2">
        <v>7.0650000000000004</v>
      </c>
      <c r="M46" s="2">
        <v>10.943</v>
      </c>
      <c r="N46" s="4">
        <f t="shared" si="0"/>
        <v>129.38900000000001</v>
      </c>
    </row>
    <row r="47" spans="1:14" ht="16.5" customHeight="1" x14ac:dyDescent="0.2">
      <c r="A47" s="9" t="s">
        <v>44</v>
      </c>
      <c r="B47" s="3">
        <v>7.9080000000000004</v>
      </c>
      <c r="C47" s="2">
        <v>6.3639999999999999</v>
      </c>
      <c r="D47" s="2">
        <v>6.33</v>
      </c>
      <c r="E47" s="2">
        <v>5.6120000000000001</v>
      </c>
      <c r="F47" s="2">
        <v>5.8550000000000004</v>
      </c>
      <c r="G47" s="2">
        <v>5.0970000000000004</v>
      </c>
      <c r="H47" s="2">
        <v>5.4359999999999999</v>
      </c>
      <c r="I47" s="2">
        <v>3.8919999999999999</v>
      </c>
      <c r="J47" s="2">
        <v>6.4240000000000004</v>
      </c>
      <c r="K47" s="2">
        <v>6.2210000000000001</v>
      </c>
      <c r="L47" s="2">
        <v>6.5650000000000004</v>
      </c>
      <c r="M47" s="2">
        <v>6.7569999999999997</v>
      </c>
      <c r="N47" s="4">
        <f t="shared" si="0"/>
        <v>72.461000000000013</v>
      </c>
    </row>
    <row r="48" spans="1:14" ht="16.5" customHeight="1" x14ac:dyDescent="0.2">
      <c r="A48" s="9" t="s">
        <v>45</v>
      </c>
      <c r="B48" s="3">
        <v>329.64299999999997</v>
      </c>
      <c r="C48" s="2">
        <v>284.83600000000001</v>
      </c>
      <c r="D48" s="2">
        <v>338.98899999999998</v>
      </c>
      <c r="E48" s="2">
        <v>275.50900000000001</v>
      </c>
      <c r="F48" s="2">
        <v>305.31599999999997</v>
      </c>
      <c r="G48" s="2">
        <v>275.005</v>
      </c>
      <c r="H48" s="2">
        <v>267.40800000000002</v>
      </c>
      <c r="I48" s="2">
        <v>280.185</v>
      </c>
      <c r="J48" s="2">
        <v>292</v>
      </c>
      <c r="K48" s="2">
        <v>295</v>
      </c>
      <c r="L48" s="2">
        <v>289</v>
      </c>
      <c r="M48" s="2">
        <v>296</v>
      </c>
      <c r="N48" s="4">
        <f t="shared" si="0"/>
        <v>3528.8910000000001</v>
      </c>
    </row>
    <row r="49" spans="1:14" ht="18" customHeight="1" x14ac:dyDescent="0.2">
      <c r="A49" s="10" t="s">
        <v>52</v>
      </c>
      <c r="B49" s="7">
        <v>190.08899999999903</v>
      </c>
      <c r="C49" s="5">
        <v>189.107</v>
      </c>
      <c r="D49" s="5">
        <v>259.24300000000039</v>
      </c>
      <c r="E49" s="5">
        <v>271.35300000000001</v>
      </c>
      <c r="F49" s="5">
        <v>346.79399999999987</v>
      </c>
      <c r="G49" s="5">
        <v>225.27499999999998</v>
      </c>
      <c r="H49" s="5">
        <v>231.529</v>
      </c>
      <c r="I49" s="5">
        <v>229.8760000000002</v>
      </c>
      <c r="J49" s="5">
        <v>301.83100000000002</v>
      </c>
      <c r="K49" s="5">
        <v>224.595</v>
      </c>
      <c r="L49" s="5">
        <v>318.86799999999999</v>
      </c>
      <c r="M49" s="5">
        <v>293.029</v>
      </c>
      <c r="N49" s="6">
        <f t="shared" si="0"/>
        <v>3081.5889999999995</v>
      </c>
    </row>
    <row r="50" spans="1:14" x14ac:dyDescent="0.2">
      <c r="F50" s="41"/>
    </row>
    <row r="51" spans="1:14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14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14" x14ac:dyDescent="0.2"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</row>
    <row r="54" spans="1:14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14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14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14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14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14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14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14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14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14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14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C25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44197</v>
      </c>
      <c r="C4" s="13">
        <v>44228</v>
      </c>
      <c r="D4" s="13">
        <v>44256</v>
      </c>
      <c r="E4" s="13">
        <v>44287</v>
      </c>
      <c r="F4" s="13">
        <v>44317</v>
      </c>
      <c r="G4" s="13">
        <v>44348</v>
      </c>
      <c r="H4" s="13">
        <v>44378</v>
      </c>
      <c r="I4" s="14">
        <v>44409</v>
      </c>
      <c r="J4" s="14">
        <v>44440</v>
      </c>
      <c r="K4" s="14">
        <v>44470</v>
      </c>
      <c r="L4" s="13">
        <v>44501</v>
      </c>
      <c r="M4" s="13">
        <v>44531</v>
      </c>
      <c r="N4" s="15" t="s">
        <v>55</v>
      </c>
    </row>
    <row r="5" spans="1:28" s="21" customFormat="1" ht="21" customHeight="1" x14ac:dyDescent="0.2">
      <c r="A5" s="17" t="s">
        <v>0</v>
      </c>
      <c r="B5" s="18">
        <v>1.052</v>
      </c>
      <c r="C5" s="19">
        <v>0.92400000000000004</v>
      </c>
      <c r="D5" s="19">
        <v>0.996</v>
      </c>
      <c r="E5" s="19">
        <v>0.92100000000000004</v>
      </c>
      <c r="F5" s="19">
        <v>0.95099999999999996</v>
      </c>
      <c r="G5" s="19">
        <v>0.52200000000000002</v>
      </c>
      <c r="H5" s="19">
        <v>3.9E-2</v>
      </c>
      <c r="I5" s="45">
        <v>8.4000000000000005E-2</v>
      </c>
      <c r="J5" s="19">
        <v>8.8999999999999996E-2</v>
      </c>
      <c r="K5" s="19">
        <v>8.5999999999999993E-2</v>
      </c>
      <c r="L5" s="19">
        <v>7.8E-2</v>
      </c>
      <c r="M5" s="19">
        <v>7.3999999999999996E-2</v>
      </c>
      <c r="N5" s="20">
        <f>SUM(B5:M5)</f>
        <v>5.8159999999999998</v>
      </c>
      <c r="P5" s="34"/>
      <c r="Q5" s="37"/>
      <c r="R5" s="42"/>
    </row>
    <row r="6" spans="1:28" s="21" customFormat="1" ht="21" customHeight="1" x14ac:dyDescent="0.2">
      <c r="A6" s="22" t="s">
        <v>1</v>
      </c>
      <c r="B6" s="23">
        <v>4475.4849999999997</v>
      </c>
      <c r="C6" s="24">
        <v>4102.5209999999997</v>
      </c>
      <c r="D6" s="24">
        <v>4469.7120000000004</v>
      </c>
      <c r="E6" s="24">
        <v>4295.3450000000003</v>
      </c>
      <c r="F6" s="24">
        <v>4783.4650000000001</v>
      </c>
      <c r="G6" s="24">
        <v>4347.09</v>
      </c>
      <c r="H6" s="24">
        <v>4827.9790000000003</v>
      </c>
      <c r="I6" s="24">
        <v>5537.1450000000004</v>
      </c>
      <c r="J6" s="24">
        <v>4465.5110000000004</v>
      </c>
      <c r="K6" s="24">
        <v>5027.2430000000004</v>
      </c>
      <c r="L6" s="24">
        <v>4973.1729999999998</v>
      </c>
      <c r="M6" s="24">
        <v>4867.1180000000004</v>
      </c>
      <c r="N6" s="25">
        <f>SUM(B6:M6)</f>
        <v>56171.787000000004</v>
      </c>
      <c r="P6" s="34"/>
      <c r="Q6" s="37"/>
      <c r="R6" s="42"/>
    </row>
    <row r="7" spans="1:28" s="21" customFormat="1" ht="21" customHeight="1" x14ac:dyDescent="0.2">
      <c r="A7" s="26" t="s">
        <v>2</v>
      </c>
      <c r="B7" s="27">
        <v>174.75900000000092</v>
      </c>
      <c r="C7" s="28">
        <v>89.516000000000531</v>
      </c>
      <c r="D7" s="28">
        <v>-24.228000000000975</v>
      </c>
      <c r="E7" s="28">
        <v>72.34099999999944</v>
      </c>
      <c r="F7" s="28">
        <v>-32.851999999999862</v>
      </c>
      <c r="G7" s="28">
        <v>188.5679999999993</v>
      </c>
      <c r="H7" s="28">
        <v>147.65800000000036</v>
      </c>
      <c r="I7" s="28">
        <v>261.22099999999955</v>
      </c>
      <c r="J7" s="28">
        <v>38.770999999999731</v>
      </c>
      <c r="K7" s="28">
        <v>527.76499999999942</v>
      </c>
      <c r="L7" s="28">
        <v>313.21599999999944</v>
      </c>
      <c r="M7" s="28">
        <v>22.157999999999447</v>
      </c>
      <c r="N7" s="29">
        <f t="shared" ref="N7:N49" si="0">SUM(B7:M7)</f>
        <v>1778.8929999999973</v>
      </c>
      <c r="P7" s="34"/>
      <c r="Q7" s="37"/>
      <c r="R7" s="42"/>
    </row>
    <row r="8" spans="1:28" s="21" customFormat="1" ht="21" customHeight="1" x14ac:dyDescent="0.2">
      <c r="A8" s="26" t="s">
        <v>3</v>
      </c>
      <c r="B8" s="27">
        <v>46.15</v>
      </c>
      <c r="C8" s="28">
        <v>-156.41300000000001</v>
      </c>
      <c r="D8" s="28">
        <v>-49.902000000000001</v>
      </c>
      <c r="E8" s="28">
        <v>-206.03100000000001</v>
      </c>
      <c r="F8" s="28">
        <v>61.476999999999997</v>
      </c>
      <c r="G8" s="28">
        <v>81.787000000000006</v>
      </c>
      <c r="H8" s="28">
        <v>-139.63</v>
      </c>
      <c r="I8" s="28">
        <v>251.04499999999999</v>
      </c>
      <c r="J8" s="28">
        <v>-552.95000000000005</v>
      </c>
      <c r="K8" s="28">
        <v>261.30500000000001</v>
      </c>
      <c r="L8" s="28">
        <v>14.704000000000001</v>
      </c>
      <c r="M8" s="28">
        <v>-356.06299999999999</v>
      </c>
      <c r="N8" s="29">
        <f t="shared" si="0"/>
        <v>-744.52100000000007</v>
      </c>
      <c r="P8" s="34"/>
      <c r="Q8" s="37"/>
      <c r="R8" s="42"/>
    </row>
    <row r="9" spans="1:28" s="21" customFormat="1" ht="21" customHeight="1" x14ac:dyDescent="0.2">
      <c r="A9" s="26" t="s">
        <v>4</v>
      </c>
      <c r="B9" s="27">
        <v>141.374</v>
      </c>
      <c r="C9" s="28">
        <v>115.76700000000001</v>
      </c>
      <c r="D9" s="28">
        <v>-136.27800000000002</v>
      </c>
      <c r="E9" s="28">
        <v>42.543000000000006</v>
      </c>
      <c r="F9" s="28">
        <v>-32.813999999999993</v>
      </c>
      <c r="G9" s="28">
        <v>1.7509999999999906</v>
      </c>
      <c r="H9" s="28">
        <v>-55.290999999999997</v>
      </c>
      <c r="I9" s="28">
        <v>114.56200000000004</v>
      </c>
      <c r="J9" s="28">
        <v>-154.69399999999996</v>
      </c>
      <c r="K9" s="28">
        <v>72.060999999999979</v>
      </c>
      <c r="L9" s="28">
        <v>61.958999999999996</v>
      </c>
      <c r="M9" s="28">
        <v>-246.23099999999999</v>
      </c>
      <c r="N9" s="29">
        <f t="shared" si="0"/>
        <v>-75.290999999999912</v>
      </c>
      <c r="P9" s="34"/>
      <c r="Q9" s="37"/>
      <c r="R9" s="42"/>
    </row>
    <row r="10" spans="1:28" s="21" customFormat="1" ht="21" customHeight="1" x14ac:dyDescent="0.2">
      <c r="A10" s="26" t="s">
        <v>5</v>
      </c>
      <c r="B10" s="27">
        <v>15</v>
      </c>
      <c r="C10" s="28">
        <v>32</v>
      </c>
      <c r="D10" s="28">
        <v>20</v>
      </c>
      <c r="E10" s="28">
        <v>31</v>
      </c>
      <c r="F10" s="28">
        <v>18</v>
      </c>
      <c r="G10" s="28">
        <v>22</v>
      </c>
      <c r="H10" s="28">
        <v>23</v>
      </c>
      <c r="I10" s="28">
        <v>26</v>
      </c>
      <c r="J10" s="28">
        <v>19</v>
      </c>
      <c r="K10" s="28">
        <v>12</v>
      </c>
      <c r="L10" s="28">
        <v>32</v>
      </c>
      <c r="M10" s="28">
        <v>21</v>
      </c>
      <c r="N10" s="29">
        <f t="shared" si="0"/>
        <v>271</v>
      </c>
      <c r="P10" s="34"/>
      <c r="Q10" s="37"/>
      <c r="R10" s="42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37"/>
      <c r="R11" s="42"/>
    </row>
    <row r="12" spans="1:28" s="31" customFormat="1" ht="21" customHeight="1" x14ac:dyDescent="0.2">
      <c r="A12" s="22" t="s">
        <v>7</v>
      </c>
      <c r="B12" s="24">
        <v>4478.7720000000008</v>
      </c>
      <c r="C12" s="24">
        <v>4265.607</v>
      </c>
      <c r="D12" s="24">
        <v>4652.66</v>
      </c>
      <c r="E12" s="24">
        <v>4563.0950000000003</v>
      </c>
      <c r="F12" s="24">
        <v>4740.9010000000007</v>
      </c>
      <c r="G12" s="24">
        <v>4474.6419999999989</v>
      </c>
      <c r="H12" s="24">
        <v>5193.5970000000007</v>
      </c>
      <c r="I12" s="24">
        <v>5458.8429999999998</v>
      </c>
      <c r="J12" s="24">
        <v>5231.0149999999994</v>
      </c>
      <c r="K12" s="24">
        <v>5233.7280000000001</v>
      </c>
      <c r="L12" s="24">
        <v>5241.8040000000001</v>
      </c>
      <c r="M12" s="24">
        <v>5512.6439999999993</v>
      </c>
      <c r="N12" s="25">
        <f>SUM(B12:M12)</f>
        <v>59047.308000000005</v>
      </c>
      <c r="P12" s="34"/>
      <c r="Q12" s="37"/>
      <c r="R12" s="42"/>
    </row>
    <row r="13" spans="1:28" s="21" customFormat="1" ht="21" customHeight="1" x14ac:dyDescent="0.2">
      <c r="A13" s="26" t="s">
        <v>12</v>
      </c>
      <c r="B13" s="27">
        <v>4430.3869999999997</v>
      </c>
      <c r="C13" s="28">
        <v>4259.8580000000002</v>
      </c>
      <c r="D13" s="28">
        <v>4520.6099999999997</v>
      </c>
      <c r="E13" s="28">
        <v>4502.2969999999996</v>
      </c>
      <c r="F13" s="28">
        <v>4722.9390000000003</v>
      </c>
      <c r="G13" s="28">
        <v>4265.8249999999998</v>
      </c>
      <c r="H13" s="28">
        <v>4967.6480000000001</v>
      </c>
      <c r="I13" s="28">
        <v>5286.1840000000002</v>
      </c>
      <c r="J13" s="28">
        <v>5018.55</v>
      </c>
      <c r="K13" s="28">
        <v>4766.0240000000003</v>
      </c>
      <c r="L13" s="28">
        <v>4958.5469999999996</v>
      </c>
      <c r="M13" s="28">
        <v>5223.2550000000001</v>
      </c>
      <c r="N13" s="29">
        <f t="shared" si="0"/>
        <v>56922.123999999996</v>
      </c>
      <c r="P13" s="34"/>
      <c r="Q13" s="37"/>
      <c r="R13" s="42"/>
    </row>
    <row r="14" spans="1:28" s="21" customFormat="1" ht="21" customHeight="1" x14ac:dyDescent="0.2">
      <c r="A14" s="26" t="s">
        <v>8</v>
      </c>
      <c r="B14" s="27">
        <v>75.259999999999309</v>
      </c>
      <c r="C14" s="28">
        <v>110.46600000000035</v>
      </c>
      <c r="D14" s="28">
        <v>84.720000000000255</v>
      </c>
      <c r="E14" s="28">
        <v>80.791000000001077</v>
      </c>
      <c r="F14" s="28">
        <v>85.351000000000568</v>
      </c>
      <c r="G14" s="28">
        <v>80.143999999999323</v>
      </c>
      <c r="H14" s="28">
        <v>24.697000000000116</v>
      </c>
      <c r="I14" s="46">
        <v>105.93099999999959</v>
      </c>
      <c r="J14" s="28">
        <v>44.329000000000633</v>
      </c>
      <c r="K14" s="28">
        <v>79.876999999999498</v>
      </c>
      <c r="L14" s="28">
        <v>32.423000000000684</v>
      </c>
      <c r="M14" s="28">
        <v>66.523000000000138</v>
      </c>
      <c r="N14" s="29">
        <f t="shared" si="0"/>
        <v>870.51200000000154</v>
      </c>
      <c r="P14" s="36"/>
      <c r="Q14" s="37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M15" si="1">SUM(B16:B49)</f>
        <v>4403.5120000000006</v>
      </c>
      <c r="C15" s="24">
        <f t="shared" si="1"/>
        <v>4155.1409999999996</v>
      </c>
      <c r="D15" s="24">
        <f t="shared" si="1"/>
        <v>4567.9399999999996</v>
      </c>
      <c r="E15" s="24">
        <f t="shared" si="1"/>
        <v>4482.3039999999992</v>
      </c>
      <c r="F15" s="24">
        <f t="shared" si="1"/>
        <v>4655.55</v>
      </c>
      <c r="G15" s="24">
        <f t="shared" si="1"/>
        <v>4394.4980000000005</v>
      </c>
      <c r="H15" s="24">
        <f t="shared" si="1"/>
        <v>5168.9000000000005</v>
      </c>
      <c r="I15" s="24">
        <f t="shared" si="1"/>
        <v>5352.9120000000003</v>
      </c>
      <c r="J15" s="24">
        <f t="shared" si="1"/>
        <v>5186.6859999999997</v>
      </c>
      <c r="K15" s="24">
        <f t="shared" si="1"/>
        <v>5153.8510000000006</v>
      </c>
      <c r="L15" s="24">
        <f t="shared" si="1"/>
        <v>5209.3809999999994</v>
      </c>
      <c r="M15" s="24">
        <f t="shared" si="1"/>
        <v>5446.1209999999992</v>
      </c>
      <c r="N15" s="25">
        <f t="shared" si="0"/>
        <v>58176.796000000002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147.88</v>
      </c>
      <c r="C16" s="2">
        <v>137.054</v>
      </c>
      <c r="D16" s="2">
        <v>155.30000000000001</v>
      </c>
      <c r="E16" s="2">
        <v>145.84100000000001</v>
      </c>
      <c r="F16" s="2">
        <v>149.12200000000001</v>
      </c>
      <c r="G16" s="2">
        <v>151.71799999999999</v>
      </c>
      <c r="H16" s="2">
        <v>173.57</v>
      </c>
      <c r="I16" s="2">
        <v>178.03800000000001</v>
      </c>
      <c r="J16" s="2">
        <v>169.1</v>
      </c>
      <c r="K16" s="2">
        <v>168.97300000000001</v>
      </c>
      <c r="L16" s="2">
        <v>176.48099999999999</v>
      </c>
      <c r="M16" s="2">
        <v>199.566</v>
      </c>
      <c r="N16" s="4">
        <f t="shared" si="0"/>
        <v>1952.643</v>
      </c>
      <c r="Q16" s="30"/>
      <c r="R16" s="41"/>
      <c r="S16" s="44"/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41"/>
      <c r="S17" s="44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87.123000000000005</v>
      </c>
      <c r="C18" s="2">
        <v>62.353999999999999</v>
      </c>
      <c r="D18" s="2">
        <v>77.013000000000005</v>
      </c>
      <c r="E18" s="2">
        <v>67.352999999999994</v>
      </c>
      <c r="F18" s="2">
        <v>91.915000000000006</v>
      </c>
      <c r="G18" s="2">
        <v>70.516999999999996</v>
      </c>
      <c r="H18" s="2">
        <v>80.135999999999996</v>
      </c>
      <c r="I18" s="2">
        <v>100.602</v>
      </c>
      <c r="J18" s="2">
        <v>100.43899999999999</v>
      </c>
      <c r="K18" s="2">
        <v>110.425</v>
      </c>
      <c r="L18" s="2">
        <v>112.054</v>
      </c>
      <c r="M18" s="2">
        <v>111.30200000000001</v>
      </c>
      <c r="N18" s="4">
        <f t="shared" si="0"/>
        <v>1071.2329999999999</v>
      </c>
      <c r="Q18" s="30"/>
      <c r="R18" s="41"/>
      <c r="S18" s="44"/>
    </row>
    <row r="19" spans="1:29" ht="16.5" customHeight="1" x14ac:dyDescent="0.2">
      <c r="A19" s="9" t="s">
        <v>17</v>
      </c>
      <c r="B19" s="3">
        <v>22.736999999999995</v>
      </c>
      <c r="C19" s="2">
        <v>11.951999999999998</v>
      </c>
      <c r="D19" s="2">
        <v>5.0429999999999922</v>
      </c>
      <c r="E19" s="2">
        <v>0</v>
      </c>
      <c r="F19" s="2">
        <v>0</v>
      </c>
      <c r="G19" s="2">
        <v>0</v>
      </c>
      <c r="H19" s="2">
        <v>0</v>
      </c>
      <c r="I19" s="2">
        <v>5.3719999999999999</v>
      </c>
      <c r="J19" s="2">
        <v>31.879000000000019</v>
      </c>
      <c r="K19" s="2">
        <v>28.978999999999999</v>
      </c>
      <c r="L19" s="2">
        <v>36.085000000000008</v>
      </c>
      <c r="M19" s="2">
        <v>26.689999999999984</v>
      </c>
      <c r="N19" s="4">
        <f t="shared" si="0"/>
        <v>168.73700000000002</v>
      </c>
      <c r="Q19" s="30"/>
      <c r="R19" s="41"/>
      <c r="S19" s="44"/>
    </row>
    <row r="20" spans="1:29" ht="16.5" customHeight="1" x14ac:dyDescent="0.2">
      <c r="A20" s="9" t="s">
        <v>18</v>
      </c>
      <c r="B20" s="3">
        <v>61.146000000000001</v>
      </c>
      <c r="C20" s="2">
        <v>52.889000000000003</v>
      </c>
      <c r="D20" s="2">
        <v>76.164000000000001</v>
      </c>
      <c r="E20" s="2">
        <v>47.009</v>
      </c>
      <c r="F20" s="2">
        <v>133.55199999999999</v>
      </c>
      <c r="G20" s="2">
        <v>140.483</v>
      </c>
      <c r="H20" s="2">
        <v>160.67500000000001</v>
      </c>
      <c r="I20" s="2">
        <v>165.417</v>
      </c>
      <c r="J20" s="2">
        <v>146.798</v>
      </c>
      <c r="K20" s="2">
        <v>158.29599999999999</v>
      </c>
      <c r="L20" s="2">
        <v>145.405</v>
      </c>
      <c r="M20" s="2">
        <v>155.91399999999999</v>
      </c>
      <c r="N20" s="4">
        <f t="shared" si="0"/>
        <v>1443.748</v>
      </c>
      <c r="Q20" s="30"/>
      <c r="R20" s="41"/>
      <c r="S20" s="44"/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Q21" s="30"/>
      <c r="R21" s="41"/>
      <c r="S21" s="44"/>
    </row>
    <row r="22" spans="1:29" ht="16.5" customHeight="1" x14ac:dyDescent="0.2">
      <c r="A22" s="9" t="s">
        <v>20</v>
      </c>
      <c r="B22" s="3">
        <v>95.11</v>
      </c>
      <c r="C22" s="2">
        <v>82.474999999999994</v>
      </c>
      <c r="D22" s="2">
        <v>80.319999999999993</v>
      </c>
      <c r="E22" s="2">
        <v>107.09699999999999</v>
      </c>
      <c r="F22" s="2">
        <v>94.135000000000005</v>
      </c>
      <c r="G22" s="2">
        <v>105.343</v>
      </c>
      <c r="H22" s="2">
        <v>103.964</v>
      </c>
      <c r="I22" s="2">
        <v>106.248</v>
      </c>
      <c r="J22" s="2">
        <v>107.21</v>
      </c>
      <c r="K22" s="2">
        <v>105.301</v>
      </c>
      <c r="L22" s="2">
        <v>100.871</v>
      </c>
      <c r="M22" s="2">
        <v>98.807000000000002</v>
      </c>
      <c r="N22" s="4">
        <f t="shared" si="0"/>
        <v>1186.8810000000001</v>
      </c>
      <c r="Q22" s="30"/>
      <c r="R22" s="41"/>
      <c r="S22" s="44"/>
    </row>
    <row r="23" spans="1:29" ht="16.5" customHeight="1" x14ac:dyDescent="0.2">
      <c r="A23" s="9" t="s">
        <v>21</v>
      </c>
      <c r="B23" s="3">
        <v>3.99</v>
      </c>
      <c r="C23" s="2">
        <v>1.633</v>
      </c>
      <c r="D23" s="2">
        <v>0.878</v>
      </c>
      <c r="E23" s="2">
        <v>3.6</v>
      </c>
      <c r="F23" s="2">
        <v>10.055999999999999</v>
      </c>
      <c r="G23" s="2">
        <v>4.7519999999999998</v>
      </c>
      <c r="H23" s="2">
        <v>4.0839999999999996</v>
      </c>
      <c r="I23" s="2">
        <v>8.8729999999999993</v>
      </c>
      <c r="J23" s="2">
        <v>4.407</v>
      </c>
      <c r="K23" s="2">
        <v>6.9009999999999998</v>
      </c>
      <c r="L23" s="2">
        <v>2.7370000000000001</v>
      </c>
      <c r="M23" s="2">
        <v>3.395</v>
      </c>
      <c r="N23" s="4">
        <f t="shared" si="0"/>
        <v>55.305999999999997</v>
      </c>
      <c r="Q23" s="30"/>
      <c r="R23" s="41"/>
      <c r="S23" s="44"/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Q24" s="30"/>
      <c r="R24" s="41"/>
      <c r="S24" s="44"/>
    </row>
    <row r="25" spans="1:29" ht="16.5" customHeight="1" x14ac:dyDescent="0.2">
      <c r="A25" s="9" t="s">
        <v>23</v>
      </c>
      <c r="B25" s="3">
        <v>621.11900000000003</v>
      </c>
      <c r="C25" s="2">
        <v>595.48199999999997</v>
      </c>
      <c r="D25" s="2">
        <v>683.16800000000001</v>
      </c>
      <c r="E25" s="2">
        <v>634.65499999999997</v>
      </c>
      <c r="F25" s="2">
        <v>664.38</v>
      </c>
      <c r="G25" s="2">
        <v>636.72299999999996</v>
      </c>
      <c r="H25" s="2">
        <v>736.13599999999997</v>
      </c>
      <c r="I25" s="2">
        <v>781.46500000000003</v>
      </c>
      <c r="J25" s="2">
        <v>742.26</v>
      </c>
      <c r="K25" s="2">
        <v>792.94600000000003</v>
      </c>
      <c r="L25" s="2">
        <v>763.69799999999998</v>
      </c>
      <c r="M25" s="2">
        <v>773.63900000000001</v>
      </c>
      <c r="N25" s="4">
        <f t="shared" si="0"/>
        <v>8425.6710000000003</v>
      </c>
      <c r="Q25" s="30"/>
      <c r="R25" s="41"/>
      <c r="S25" s="44"/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Q26" s="30"/>
      <c r="R26" s="41"/>
      <c r="S26" s="44"/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Q27" s="30"/>
      <c r="R27" s="41"/>
      <c r="S27" s="44"/>
    </row>
    <row r="28" spans="1:29" ht="16.5" customHeight="1" x14ac:dyDescent="0.2">
      <c r="A28" s="9" t="s">
        <v>26</v>
      </c>
      <c r="B28" s="3">
        <v>22.475999999999999</v>
      </c>
      <c r="C28" s="2">
        <v>14.237</v>
      </c>
      <c r="D28" s="2">
        <v>5.8289999999999997</v>
      </c>
      <c r="E28" s="2">
        <v>10.365</v>
      </c>
      <c r="F28" s="2">
        <v>15.724</v>
      </c>
      <c r="G28" s="2">
        <v>24.616</v>
      </c>
      <c r="H28" s="2">
        <v>27.434000000000001</v>
      </c>
      <c r="I28" s="2">
        <v>40.816000000000003</v>
      </c>
      <c r="J28" s="2">
        <v>37.584000000000003</v>
      </c>
      <c r="K28" s="2">
        <v>47.247999999999998</v>
      </c>
      <c r="L28" s="2">
        <v>34.847999999999999</v>
      </c>
      <c r="M28" s="2">
        <v>34.442</v>
      </c>
      <c r="N28" s="4">
        <f t="shared" si="0"/>
        <v>315.61900000000003</v>
      </c>
      <c r="Q28" s="30"/>
      <c r="R28" s="41"/>
      <c r="S28" s="44"/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Q29" s="30"/>
      <c r="R29" s="30"/>
      <c r="S29" s="44"/>
    </row>
    <row r="30" spans="1:29" ht="16.5" customHeight="1" x14ac:dyDescent="0.2">
      <c r="A30" s="9" t="s">
        <v>28</v>
      </c>
      <c r="B30" s="3">
        <v>561.245</v>
      </c>
      <c r="C30" s="2">
        <v>591.62400000000002</v>
      </c>
      <c r="D30" s="2">
        <v>679.81899999999996</v>
      </c>
      <c r="E30" s="2">
        <v>652.38499999999999</v>
      </c>
      <c r="F30" s="2">
        <v>665.88499999999999</v>
      </c>
      <c r="G30" s="2">
        <v>632.02800000000002</v>
      </c>
      <c r="H30" s="2">
        <v>778.07899999999995</v>
      </c>
      <c r="I30" s="2">
        <v>784.70500000000004</v>
      </c>
      <c r="J30" s="2">
        <v>741.04899999999998</v>
      </c>
      <c r="K30" s="2">
        <v>765.10500000000002</v>
      </c>
      <c r="L30" s="2">
        <v>736.99300000000005</v>
      </c>
      <c r="M30" s="2">
        <v>789.76700000000005</v>
      </c>
      <c r="N30" s="4">
        <f t="shared" si="0"/>
        <v>8378.6840000000011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246.982</v>
      </c>
      <c r="C32" s="2">
        <v>221.46899999999999</v>
      </c>
      <c r="D32" s="2">
        <v>267.34699999999998</v>
      </c>
      <c r="E32" s="2">
        <v>266.40699999999998</v>
      </c>
      <c r="F32" s="2">
        <v>209.70400000000001</v>
      </c>
      <c r="G32" s="2">
        <v>207.86600000000001</v>
      </c>
      <c r="H32" s="2">
        <v>280.31900000000002</v>
      </c>
      <c r="I32" s="2">
        <v>286.952</v>
      </c>
      <c r="J32" s="2">
        <v>276.96600000000001</v>
      </c>
      <c r="K32" s="2">
        <v>248.39599999999999</v>
      </c>
      <c r="L32" s="2">
        <v>275.108</v>
      </c>
      <c r="M32" s="2">
        <v>274.26499999999999</v>
      </c>
      <c r="N32" s="4">
        <f t="shared" si="0"/>
        <v>3061.7809999999999</v>
      </c>
    </row>
    <row r="33" spans="1:14" ht="16.5" customHeight="1" x14ac:dyDescent="0.2">
      <c r="A33" s="9" t="s">
        <v>31</v>
      </c>
      <c r="B33" s="3">
        <v>35.593000000000004</v>
      </c>
      <c r="C33" s="2">
        <v>52.767000000000003</v>
      </c>
      <c r="D33" s="2">
        <v>40.356000000000002</v>
      </c>
      <c r="E33" s="2">
        <v>37.555999999999997</v>
      </c>
      <c r="F33" s="2">
        <v>0</v>
      </c>
      <c r="G33" s="2">
        <v>35.427999999999997</v>
      </c>
      <c r="H33" s="2">
        <v>11.552</v>
      </c>
      <c r="I33" s="2">
        <v>25.78</v>
      </c>
      <c r="J33" s="2">
        <v>29.966999999999999</v>
      </c>
      <c r="K33" s="2">
        <v>38.075000000000003</v>
      </c>
      <c r="L33" s="2">
        <v>28.227</v>
      </c>
      <c r="M33" s="2">
        <v>41.777000000000001</v>
      </c>
      <c r="N33" s="4">
        <f t="shared" si="0"/>
        <v>377.07799999999992</v>
      </c>
    </row>
    <row r="34" spans="1:14" ht="16.5" customHeight="1" x14ac:dyDescent="0.2">
      <c r="A34" s="9" t="s">
        <v>32</v>
      </c>
      <c r="B34" s="3">
        <v>3.0259999999999998</v>
      </c>
      <c r="C34" s="2">
        <v>9.6820000000000004</v>
      </c>
      <c r="D34" s="2">
        <v>1.585</v>
      </c>
      <c r="E34" s="2">
        <v>0.83499999999999996</v>
      </c>
      <c r="F34" s="2">
        <v>1.534</v>
      </c>
      <c r="G34" s="2">
        <v>1.587</v>
      </c>
      <c r="H34" s="2">
        <v>2.9409999999999998</v>
      </c>
      <c r="I34" s="2">
        <v>0</v>
      </c>
      <c r="J34" s="2">
        <v>3.57</v>
      </c>
      <c r="K34" s="2">
        <v>6.0590000000000002</v>
      </c>
      <c r="L34" s="2">
        <v>7.3559999999999999</v>
      </c>
      <c r="M34" s="2">
        <v>6.6929999999999996</v>
      </c>
      <c r="N34" s="4">
        <f t="shared" si="0"/>
        <v>44.867999999999995</v>
      </c>
    </row>
    <row r="35" spans="1:14" ht="16.5" customHeight="1" x14ac:dyDescent="0.2">
      <c r="A35" s="9" t="s">
        <v>33</v>
      </c>
      <c r="B35" s="3">
        <v>70.451999999999998</v>
      </c>
      <c r="C35" s="2">
        <v>66.912999999999997</v>
      </c>
      <c r="D35" s="2">
        <v>75.346999999999994</v>
      </c>
      <c r="E35" s="2">
        <v>77.143000000000001</v>
      </c>
      <c r="F35" s="2">
        <v>81.504999999999995</v>
      </c>
      <c r="G35" s="2">
        <v>77.564999999999998</v>
      </c>
      <c r="H35" s="2">
        <v>76.656000000000006</v>
      </c>
      <c r="I35" s="2">
        <v>72.468000000000004</v>
      </c>
      <c r="J35" s="2">
        <v>71.298000000000002</v>
      </c>
      <c r="K35" s="2">
        <v>82.888999999999996</v>
      </c>
      <c r="L35" s="2">
        <v>78.075999999999993</v>
      </c>
      <c r="M35" s="2">
        <v>68.486999999999995</v>
      </c>
      <c r="N35" s="4">
        <f t="shared" si="0"/>
        <v>898.79899999999998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1620.079</v>
      </c>
      <c r="C37" s="2">
        <v>1552.4109999999998</v>
      </c>
      <c r="D37" s="2">
        <v>1648.182</v>
      </c>
      <c r="E37" s="2">
        <v>1603.1210000000001</v>
      </c>
      <c r="F37" s="2">
        <v>1558.153</v>
      </c>
      <c r="G37" s="2">
        <v>1412.894</v>
      </c>
      <c r="H37" s="2">
        <v>1781.645</v>
      </c>
      <c r="I37" s="2">
        <v>1755.595</v>
      </c>
      <c r="J37" s="2">
        <v>1700.0880000000002</v>
      </c>
      <c r="K37" s="2">
        <v>1613.0140000000001</v>
      </c>
      <c r="L37" s="2">
        <v>1719.3000000000002</v>
      </c>
      <c r="M37" s="2">
        <v>1839.3739999999998</v>
      </c>
      <c r="N37" s="4">
        <f t="shared" si="0"/>
        <v>19803.856</v>
      </c>
    </row>
    <row r="38" spans="1:14" ht="16.5" customHeight="1" x14ac:dyDescent="0.2">
      <c r="A38" s="9" t="s">
        <v>36</v>
      </c>
      <c r="B38" s="3">
        <v>7.1959999999999997</v>
      </c>
      <c r="C38" s="2">
        <v>3.8889999999999998</v>
      </c>
      <c r="D38" s="2">
        <v>4.3680000000000003</v>
      </c>
      <c r="E38" s="2">
        <v>5.9530000000000003</v>
      </c>
      <c r="F38" s="2">
        <v>5.1150000000000002</v>
      </c>
      <c r="G38" s="2">
        <v>7.0549999999999997</v>
      </c>
      <c r="H38" s="2">
        <v>23.931000000000001</v>
      </c>
      <c r="I38" s="2">
        <v>20.207000000000001</v>
      </c>
      <c r="J38" s="2">
        <v>17.456</v>
      </c>
      <c r="K38" s="2">
        <v>7.6619999999999999</v>
      </c>
      <c r="L38" s="2">
        <v>3.0390000000000001</v>
      </c>
      <c r="M38" s="2">
        <v>14.206</v>
      </c>
      <c r="N38" s="4">
        <f t="shared" si="0"/>
        <v>120.07700000000001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1.4E-2</v>
      </c>
      <c r="J40" s="2">
        <v>0</v>
      </c>
      <c r="K40" s="2">
        <v>1E-3</v>
      </c>
      <c r="L40" s="2">
        <v>0</v>
      </c>
      <c r="M40" s="2">
        <v>0</v>
      </c>
      <c r="N40" s="4">
        <f t="shared" si="0"/>
        <v>1.4999999999999999E-2</v>
      </c>
    </row>
    <row r="41" spans="1:14" ht="16.5" customHeight="1" x14ac:dyDescent="0.2">
      <c r="A41" s="9" t="s">
        <v>39</v>
      </c>
      <c r="B41" s="3">
        <v>18.100000000000001</v>
      </c>
      <c r="C41" s="2">
        <v>15.304</v>
      </c>
      <c r="D41" s="2">
        <v>15.808999999999999</v>
      </c>
      <c r="E41" s="2">
        <v>17.097000000000001</v>
      </c>
      <c r="F41" s="2">
        <v>5.7380000000000004</v>
      </c>
      <c r="G41" s="2">
        <v>6.6000000000000003E-2</v>
      </c>
      <c r="H41" s="2">
        <v>4.2999999999999997E-2</v>
      </c>
      <c r="I41" s="2">
        <v>4.7E-2</v>
      </c>
      <c r="J41" s="2">
        <v>4.4999999999999998E-2</v>
      </c>
      <c r="K41" s="2">
        <v>0.161</v>
      </c>
      <c r="L41" s="2">
        <v>2.407</v>
      </c>
      <c r="M41" s="2">
        <v>4.7E-2</v>
      </c>
      <c r="N41" s="4">
        <f t="shared" si="0"/>
        <v>74.864000000000004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132.13900000000001</v>
      </c>
      <c r="C43" s="2">
        <v>53.024999999999991</v>
      </c>
      <c r="D43" s="2">
        <v>60.739000000000004</v>
      </c>
      <c r="E43" s="2">
        <v>58.116999999999997</v>
      </c>
      <c r="F43" s="2">
        <v>234.94800000000001</v>
      </c>
      <c r="G43" s="2">
        <v>186.69800000000001</v>
      </c>
      <c r="H43" s="2">
        <v>291.54700000000003</v>
      </c>
      <c r="I43" s="2">
        <v>258.51900000000001</v>
      </c>
      <c r="J43" s="2">
        <v>287.762</v>
      </c>
      <c r="K43" s="2">
        <v>335.839</v>
      </c>
      <c r="L43" s="2">
        <v>353.40699999999998</v>
      </c>
      <c r="M43" s="2">
        <v>317.00099999999998</v>
      </c>
      <c r="N43" s="4">
        <f t="shared" si="0"/>
        <v>2569.741</v>
      </c>
    </row>
    <row r="44" spans="1:14" ht="16.5" customHeight="1" x14ac:dyDescent="0.2">
      <c r="A44" s="9" t="s">
        <v>41</v>
      </c>
      <c r="B44" s="3">
        <v>22.867000000000001</v>
      </c>
      <c r="C44" s="2">
        <v>16.065999999999999</v>
      </c>
      <c r="D44" s="2">
        <v>24.538</v>
      </c>
      <c r="E44" s="2">
        <v>29.27</v>
      </c>
      <c r="F44" s="2">
        <v>26.614999999999998</v>
      </c>
      <c r="G44" s="2">
        <v>26.077000000000002</v>
      </c>
      <c r="H44" s="2">
        <v>28.454000000000001</v>
      </c>
      <c r="I44" s="2">
        <v>34.176000000000002</v>
      </c>
      <c r="J44" s="2">
        <v>26.571999999999999</v>
      </c>
      <c r="K44" s="2">
        <v>24.978999999999999</v>
      </c>
      <c r="L44" s="2">
        <v>18.93</v>
      </c>
      <c r="M44" s="2">
        <v>28.966999999999999</v>
      </c>
      <c r="N44" s="4">
        <f t="shared" si="0"/>
        <v>307.51099999999997</v>
      </c>
    </row>
    <row r="45" spans="1:14" ht="16.5" customHeight="1" x14ac:dyDescent="0.2">
      <c r="A45" s="9" t="s">
        <v>42</v>
      </c>
      <c r="B45" s="3">
        <v>151.666</v>
      </c>
      <c r="C45" s="2">
        <v>121.672</v>
      </c>
      <c r="D45" s="2">
        <v>168.34800000000001</v>
      </c>
      <c r="E45" s="2">
        <v>188.80199999999999</v>
      </c>
      <c r="F45" s="2">
        <v>190.97399999999999</v>
      </c>
      <c r="G45" s="2">
        <v>218.44</v>
      </c>
      <c r="H45" s="2">
        <v>206.68299999999999</v>
      </c>
      <c r="I45" s="2">
        <v>197.34899999999999</v>
      </c>
      <c r="J45" s="2">
        <v>198.458</v>
      </c>
      <c r="K45" s="2">
        <v>201.52500000000001</v>
      </c>
      <c r="L45" s="2">
        <v>169.536</v>
      </c>
      <c r="M45" s="2">
        <v>177.779</v>
      </c>
      <c r="N45" s="4">
        <f t="shared" si="0"/>
        <v>2191.232</v>
      </c>
    </row>
    <row r="46" spans="1:14" ht="16.5" customHeight="1" x14ac:dyDescent="0.2">
      <c r="A46" s="9" t="s">
        <v>43</v>
      </c>
      <c r="B46" s="3">
        <v>10.618</v>
      </c>
      <c r="C46" s="2">
        <v>11.439</v>
      </c>
      <c r="D46" s="2">
        <v>18.244</v>
      </c>
      <c r="E46" s="2">
        <v>13.31</v>
      </c>
      <c r="F46" s="2">
        <v>12.487</v>
      </c>
      <c r="G46" s="2">
        <v>10.776999999999999</v>
      </c>
      <c r="H46" s="2">
        <v>18.123999999999999</v>
      </c>
      <c r="I46" s="2">
        <v>8.7520000000000007</v>
      </c>
      <c r="J46" s="2">
        <v>10.983000000000001</v>
      </c>
      <c r="K46" s="2">
        <v>8.4870000000000001</v>
      </c>
      <c r="L46" s="2">
        <v>9.3460000000000001</v>
      </c>
      <c r="M46" s="2">
        <v>11.391</v>
      </c>
      <c r="N46" s="4">
        <f t="shared" si="0"/>
        <v>143.95799999999997</v>
      </c>
    </row>
    <row r="47" spans="1:14" ht="16.5" customHeight="1" x14ac:dyDescent="0.2">
      <c r="A47" s="9" t="s">
        <v>44</v>
      </c>
      <c r="B47" s="3">
        <v>5.9690000000000003</v>
      </c>
      <c r="C47" s="2">
        <v>5.1769999999999996</v>
      </c>
      <c r="D47" s="2">
        <v>5.9459999999999997</v>
      </c>
      <c r="E47" s="2">
        <v>6.4809999999999999</v>
      </c>
      <c r="F47" s="2">
        <v>6.6360000000000001</v>
      </c>
      <c r="G47" s="2">
        <v>6.8019999999999996</v>
      </c>
      <c r="H47" s="2">
        <v>6.26</v>
      </c>
      <c r="I47" s="2">
        <v>6.1470000000000002</v>
      </c>
      <c r="J47" s="2">
        <v>7.1680000000000001</v>
      </c>
      <c r="K47" s="2">
        <v>6.9489999999999998</v>
      </c>
      <c r="L47" s="2">
        <v>7.0439999999999996</v>
      </c>
      <c r="M47" s="2">
        <v>5.431</v>
      </c>
      <c r="N47" s="4">
        <f t="shared" si="0"/>
        <v>76.009999999999991</v>
      </c>
    </row>
    <row r="48" spans="1:14" ht="16.5" customHeight="1" x14ac:dyDescent="0.2">
      <c r="A48" s="9" t="s">
        <v>45</v>
      </c>
      <c r="B48" s="3">
        <v>267.685</v>
      </c>
      <c r="C48" s="2">
        <v>246.33600000000001</v>
      </c>
      <c r="D48" s="2">
        <v>262.63299999999998</v>
      </c>
      <c r="E48" s="2">
        <v>210.053</v>
      </c>
      <c r="F48" s="2">
        <v>212.15700000000001</v>
      </c>
      <c r="G48" s="2">
        <v>211.56100000000001</v>
      </c>
      <c r="H48" s="2">
        <v>252.21299999999999</v>
      </c>
      <c r="I48" s="2">
        <v>255.46299999999999</v>
      </c>
      <c r="J48" s="2">
        <v>260.315</v>
      </c>
      <c r="K48" s="2">
        <v>200.27799999999999</v>
      </c>
      <c r="L48" s="2">
        <v>227.55699999999999</v>
      </c>
      <c r="M48" s="2">
        <v>280.89600000000002</v>
      </c>
      <c r="N48" s="4">
        <f t="shared" si="0"/>
        <v>2887.1469999999995</v>
      </c>
    </row>
    <row r="49" spans="1:14" ht="18" customHeight="1" x14ac:dyDescent="0.2">
      <c r="A49" s="10" t="s">
        <v>52</v>
      </c>
      <c r="B49" s="7">
        <v>188.31399999999999</v>
      </c>
      <c r="C49" s="5">
        <v>229.29099999999926</v>
      </c>
      <c r="D49" s="5">
        <v>210.96399999999903</v>
      </c>
      <c r="E49" s="5">
        <v>299.85399999999845</v>
      </c>
      <c r="F49" s="5">
        <v>285.21500000000003</v>
      </c>
      <c r="G49" s="5">
        <v>225.50200000000001</v>
      </c>
      <c r="H49" s="5">
        <v>124.45400000000154</v>
      </c>
      <c r="I49" s="5">
        <v>259.90699999999924</v>
      </c>
      <c r="J49" s="5">
        <v>215.31200000000081</v>
      </c>
      <c r="K49" s="5">
        <v>195.36299999999997</v>
      </c>
      <c r="L49" s="5">
        <v>200.87599999999929</v>
      </c>
      <c r="M49" s="5">
        <v>186.28499999999997</v>
      </c>
      <c r="N49" s="6">
        <f t="shared" si="0"/>
        <v>2621.3369999999973</v>
      </c>
    </row>
    <row r="50" spans="1:14" x14ac:dyDescent="0.2">
      <c r="F50" s="41"/>
    </row>
    <row r="51" spans="1:14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14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14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14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14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14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14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14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14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14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14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14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14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14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C25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44562</v>
      </c>
      <c r="C4" s="13">
        <v>44593</v>
      </c>
      <c r="D4" s="13">
        <v>44621</v>
      </c>
      <c r="E4" s="13">
        <v>44652</v>
      </c>
      <c r="F4" s="13">
        <v>44682</v>
      </c>
      <c r="G4" s="13">
        <v>44713</v>
      </c>
      <c r="H4" s="13">
        <v>44743</v>
      </c>
      <c r="I4" s="14">
        <v>44774</v>
      </c>
      <c r="J4" s="14">
        <v>44805</v>
      </c>
      <c r="K4" s="14">
        <v>44835</v>
      </c>
      <c r="L4" s="13">
        <v>44866</v>
      </c>
      <c r="M4" s="13">
        <v>44896</v>
      </c>
      <c r="N4" s="15" t="s">
        <v>56</v>
      </c>
    </row>
    <row r="5" spans="1:28" s="21" customFormat="1" ht="21" customHeight="1" x14ac:dyDescent="0.2">
      <c r="A5" s="17" t="s">
        <v>0</v>
      </c>
      <c r="B5" s="18">
        <v>7.4999999999999997E-2</v>
      </c>
      <c r="C5" s="19">
        <v>6.8000000000000005E-2</v>
      </c>
      <c r="D5" s="19">
        <v>4.2000000000000003E-2</v>
      </c>
      <c r="E5" s="19">
        <v>8.8999999999999996E-2</v>
      </c>
      <c r="F5" s="19">
        <v>7.0000000000000007E-2</v>
      </c>
      <c r="G5" s="19">
        <v>5.6000000000000001E-2</v>
      </c>
      <c r="H5" s="19">
        <v>7.2999999999999995E-2</v>
      </c>
      <c r="I5" s="45">
        <v>0</v>
      </c>
      <c r="J5" s="19">
        <v>0.14899999999999999</v>
      </c>
      <c r="K5" s="19">
        <v>0.108</v>
      </c>
      <c r="L5" s="19">
        <v>9.6000000000000002E-2</v>
      </c>
      <c r="M5" s="19">
        <v>8.5999999999999993E-2</v>
      </c>
      <c r="N5" s="20">
        <v>0.91199999999999992</v>
      </c>
      <c r="P5" s="34"/>
      <c r="Q5" s="47"/>
    </row>
    <row r="6" spans="1:28" s="21" customFormat="1" ht="21" customHeight="1" x14ac:dyDescent="0.2">
      <c r="A6" s="22" t="s">
        <v>1</v>
      </c>
      <c r="B6" s="23">
        <v>5179.0039999999999</v>
      </c>
      <c r="C6" s="24">
        <v>4900.6149999999998</v>
      </c>
      <c r="D6" s="24">
        <v>5089.4709999999995</v>
      </c>
      <c r="E6" s="24">
        <v>5380.1090000000004</v>
      </c>
      <c r="F6" s="24">
        <v>6001.1440000000002</v>
      </c>
      <c r="G6" s="24">
        <v>5538.2340000000004</v>
      </c>
      <c r="H6" s="24">
        <v>6132.0410000000002</v>
      </c>
      <c r="I6" s="24">
        <v>5580.3639999999996</v>
      </c>
      <c r="J6" s="24">
        <v>4884.5</v>
      </c>
      <c r="K6" s="24">
        <v>4786.6840000000002</v>
      </c>
      <c r="L6" s="24">
        <v>4613.7719999999999</v>
      </c>
      <c r="M6" s="24">
        <v>5509.5910000000003</v>
      </c>
      <c r="N6" s="25">
        <v>63595.529000000002</v>
      </c>
      <c r="P6" s="34"/>
      <c r="Q6" s="47"/>
    </row>
    <row r="7" spans="1:28" s="21" customFormat="1" ht="21" customHeight="1" x14ac:dyDescent="0.2">
      <c r="A7" s="26" t="s">
        <v>2</v>
      </c>
      <c r="B7" s="27">
        <v>150.62100000000009</v>
      </c>
      <c r="C7" s="28">
        <v>160.36999999999989</v>
      </c>
      <c r="D7" s="28">
        <v>-48.170999999999367</v>
      </c>
      <c r="E7" s="28">
        <v>-34.48200000000088</v>
      </c>
      <c r="F7" s="28">
        <v>-123.1190000000006</v>
      </c>
      <c r="G7" s="28">
        <v>-189.08400000000074</v>
      </c>
      <c r="H7" s="28">
        <v>139.13000000000011</v>
      </c>
      <c r="I7" s="28">
        <v>-118.12099999999919</v>
      </c>
      <c r="J7" s="28">
        <v>-121.97099999999955</v>
      </c>
      <c r="K7" s="28">
        <v>-131.65399999999954</v>
      </c>
      <c r="L7" s="28">
        <v>-58.464999999999236</v>
      </c>
      <c r="M7" s="28">
        <v>-100.37700000000041</v>
      </c>
      <c r="N7" s="29">
        <v>-475.32299999999941</v>
      </c>
      <c r="P7" s="34"/>
      <c r="Q7" s="47"/>
    </row>
    <row r="8" spans="1:28" s="21" customFormat="1" ht="21" customHeight="1" x14ac:dyDescent="0.2">
      <c r="A8" s="26" t="s">
        <v>3</v>
      </c>
      <c r="B8" s="27">
        <v>-61.097999999999999</v>
      </c>
      <c r="C8" s="28">
        <v>230.256</v>
      </c>
      <c r="D8" s="28">
        <v>96.263999999999996</v>
      </c>
      <c r="E8" s="28">
        <v>-85.472999999999999</v>
      </c>
      <c r="F8" s="28">
        <v>185.67400000000001</v>
      </c>
      <c r="G8" s="28">
        <v>-20.652000000000001</v>
      </c>
      <c r="H8" s="28">
        <v>447.43200000000002</v>
      </c>
      <c r="I8" s="28">
        <v>58.113999999999997</v>
      </c>
      <c r="J8" s="28">
        <v>-392.66899999999998</v>
      </c>
      <c r="K8" s="28">
        <v>56.015999999999998</v>
      </c>
      <c r="L8" s="28">
        <v>-210.393</v>
      </c>
      <c r="M8" s="28">
        <v>-100.98</v>
      </c>
      <c r="N8" s="29">
        <v>202.49099999999999</v>
      </c>
      <c r="P8" s="34"/>
      <c r="Q8" s="47"/>
    </row>
    <row r="9" spans="1:28" s="21" customFormat="1" ht="21" customHeight="1" x14ac:dyDescent="0.2">
      <c r="A9" s="26" t="s">
        <v>4</v>
      </c>
      <c r="B9" s="27">
        <v>116.551</v>
      </c>
      <c r="C9" s="28">
        <v>94.025999999999982</v>
      </c>
      <c r="D9" s="28">
        <v>-16.843999999999994</v>
      </c>
      <c r="E9" s="28">
        <v>-23.048000000000002</v>
      </c>
      <c r="F9" s="28">
        <v>-59.074000000000012</v>
      </c>
      <c r="G9" s="28">
        <v>-151.04599999999999</v>
      </c>
      <c r="H9" s="28">
        <v>240.39499999999998</v>
      </c>
      <c r="I9" s="28">
        <v>72.691000000000003</v>
      </c>
      <c r="J9" s="28">
        <v>-33.239000000000033</v>
      </c>
      <c r="K9" s="28">
        <v>46.357999999999997</v>
      </c>
      <c r="L9" s="28">
        <v>6.882000000000005</v>
      </c>
      <c r="M9" s="28">
        <v>-149.03899999999999</v>
      </c>
      <c r="N9" s="29">
        <v>144.61299999999994</v>
      </c>
      <c r="P9" s="34"/>
      <c r="Q9" s="47"/>
    </row>
    <row r="10" spans="1:28" s="21" customFormat="1" ht="21" customHeight="1" x14ac:dyDescent="0.2">
      <c r="A10" s="26" t="s">
        <v>5</v>
      </c>
      <c r="B10" s="27">
        <v>64</v>
      </c>
      <c r="C10" s="28">
        <v>27</v>
      </c>
      <c r="D10" s="28">
        <v>48.981000000000002</v>
      </c>
      <c r="E10" s="28">
        <v>24.535</v>
      </c>
      <c r="F10" s="28">
        <v>76.410000000000011</v>
      </c>
      <c r="G10" s="28">
        <v>41.644999999999996</v>
      </c>
      <c r="H10" s="28">
        <v>113.864</v>
      </c>
      <c r="I10" s="28">
        <v>193.816</v>
      </c>
      <c r="J10" s="28">
        <v>97.12</v>
      </c>
      <c r="K10" s="28">
        <v>181.392</v>
      </c>
      <c r="L10" s="28">
        <v>71.731999999999999</v>
      </c>
      <c r="M10" s="28">
        <v>77.72</v>
      </c>
      <c r="N10" s="29">
        <v>1018.2149999999999</v>
      </c>
      <c r="P10" s="34"/>
      <c r="Q10" s="47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v>0</v>
      </c>
      <c r="P11" s="35"/>
      <c r="Q11" s="47"/>
    </row>
    <row r="12" spans="1:28" s="31" customFormat="1" ht="21" customHeight="1" x14ac:dyDescent="0.2">
      <c r="A12" s="22" t="s">
        <v>7</v>
      </c>
      <c r="B12" s="24">
        <v>5338.2469999999994</v>
      </c>
      <c r="C12" s="24">
        <v>4763.7709999999997</v>
      </c>
      <c r="D12" s="24">
        <v>5010.9030000000002</v>
      </c>
      <c r="E12" s="24">
        <v>5478.771999999999</v>
      </c>
      <c r="F12" s="24">
        <v>5827.9049999999988</v>
      </c>
      <c r="G12" s="24">
        <v>5562.549</v>
      </c>
      <c r="H12" s="24">
        <v>5697.2810000000009</v>
      </c>
      <c r="I12" s="24">
        <v>5525.2540000000008</v>
      </c>
      <c r="J12" s="24">
        <v>5285.706000000001</v>
      </c>
      <c r="K12" s="24">
        <v>4734.1560000000009</v>
      </c>
      <c r="L12" s="24">
        <v>4830.6460000000006</v>
      </c>
      <c r="M12" s="24">
        <v>5737.0389999999998</v>
      </c>
      <c r="N12" s="25">
        <v>63792.228999999999</v>
      </c>
      <c r="P12" s="34"/>
      <c r="Q12" s="47"/>
    </row>
    <row r="13" spans="1:28" s="21" customFormat="1" ht="21" customHeight="1" x14ac:dyDescent="0.2">
      <c r="A13" s="26" t="s">
        <v>12</v>
      </c>
      <c r="B13" s="27">
        <v>5240.1769999999997</v>
      </c>
      <c r="C13" s="28">
        <v>4670.4269999999997</v>
      </c>
      <c r="D13" s="28">
        <v>4993.2489999999998</v>
      </c>
      <c r="E13" s="28">
        <v>5465.6710000000003</v>
      </c>
      <c r="F13" s="28">
        <v>5815.54</v>
      </c>
      <c r="G13" s="28">
        <v>5558.942</v>
      </c>
      <c r="H13" s="28">
        <v>5684.6819999999998</v>
      </c>
      <c r="I13" s="28">
        <v>5522.25</v>
      </c>
      <c r="J13" s="28">
        <v>5277.3180000000002</v>
      </c>
      <c r="K13" s="28">
        <v>4730.7759999999998</v>
      </c>
      <c r="L13" s="28">
        <v>4824.2610000000004</v>
      </c>
      <c r="M13" s="28">
        <v>5610.6570000000002</v>
      </c>
      <c r="N13" s="29">
        <v>63393.94999999999</v>
      </c>
      <c r="P13" s="34"/>
      <c r="Q13" s="47"/>
    </row>
    <row r="14" spans="1:28" s="21" customFormat="1" ht="21" customHeight="1" x14ac:dyDescent="0.2">
      <c r="A14" s="26" t="s">
        <v>8</v>
      </c>
      <c r="B14" s="27">
        <v>48.11200000000008</v>
      </c>
      <c r="C14" s="28">
        <v>29.134000000000015</v>
      </c>
      <c r="D14" s="28">
        <v>148.33400000000074</v>
      </c>
      <c r="E14" s="28">
        <v>100.67599999999857</v>
      </c>
      <c r="F14" s="28">
        <v>224.15499999999975</v>
      </c>
      <c r="G14" s="28">
        <v>265.77399999999943</v>
      </c>
      <c r="H14" s="28">
        <v>216.32100000000082</v>
      </c>
      <c r="I14" s="46">
        <v>144.46999999999935</v>
      </c>
      <c r="J14" s="28">
        <v>163.00100000000111</v>
      </c>
      <c r="K14" s="28">
        <v>129.83500000000186</v>
      </c>
      <c r="L14" s="28">
        <v>84.647000000000844</v>
      </c>
      <c r="M14" s="28">
        <v>110.03300000000036</v>
      </c>
      <c r="N14" s="29">
        <v>1664.4920000000029</v>
      </c>
      <c r="P14" s="36"/>
      <c r="Q14" s="47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v>5290.1349999999993</v>
      </c>
      <c r="C15" s="24">
        <v>4734.6369999999997</v>
      </c>
      <c r="D15" s="24">
        <v>4862.5689999999995</v>
      </c>
      <c r="E15" s="24">
        <v>5378.0960000000005</v>
      </c>
      <c r="F15" s="24">
        <v>5603.7499999999991</v>
      </c>
      <c r="G15" s="24">
        <v>5296.7750000000005</v>
      </c>
      <c r="H15" s="24">
        <v>5480.9599999999991</v>
      </c>
      <c r="I15" s="24">
        <v>5380.7840000000006</v>
      </c>
      <c r="J15" s="24">
        <v>5122.7049999999999</v>
      </c>
      <c r="K15" s="24">
        <v>4604.320999999999</v>
      </c>
      <c r="L15" s="24">
        <v>4745.9989999999998</v>
      </c>
      <c r="M15" s="24">
        <v>5627.0060000000003</v>
      </c>
      <c r="N15" s="25">
        <v>62127.737000000001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213.38499999999999</v>
      </c>
      <c r="C16" s="2">
        <v>205.18</v>
      </c>
      <c r="D16" s="2">
        <v>178.07599999999999</v>
      </c>
      <c r="E16" s="2">
        <v>209.84100000000001</v>
      </c>
      <c r="F16" s="2">
        <v>240.75299999999999</v>
      </c>
      <c r="G16" s="2">
        <v>234.94800000000001</v>
      </c>
      <c r="H16" s="2">
        <v>245.333</v>
      </c>
      <c r="I16" s="2">
        <v>241.398</v>
      </c>
      <c r="J16" s="2">
        <v>252.297</v>
      </c>
      <c r="K16" s="2">
        <v>230.65899999999999</v>
      </c>
      <c r="L16" s="2">
        <v>211.61600000000001</v>
      </c>
      <c r="M16" s="2">
        <v>241.25299999999999</v>
      </c>
      <c r="N16" s="4">
        <v>2704.739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119.464</v>
      </c>
      <c r="C18" s="2">
        <v>119.22499999999999</v>
      </c>
      <c r="D18" s="2">
        <v>93.215000000000003</v>
      </c>
      <c r="E18" s="2">
        <v>84.915999999999997</v>
      </c>
      <c r="F18" s="2">
        <v>88.162999999999997</v>
      </c>
      <c r="G18" s="2">
        <v>59.34</v>
      </c>
      <c r="H18" s="2">
        <v>101.786</v>
      </c>
      <c r="I18" s="2">
        <v>86.073999999999998</v>
      </c>
      <c r="J18" s="2">
        <v>89.572000000000003</v>
      </c>
      <c r="K18" s="2">
        <v>84.278000000000006</v>
      </c>
      <c r="L18" s="2">
        <v>83.606999999999999</v>
      </c>
      <c r="M18" s="2">
        <v>91.042000000000002</v>
      </c>
      <c r="N18" s="4">
        <v>1100.6819999999998</v>
      </c>
    </row>
    <row r="19" spans="1:29" ht="16.5" customHeight="1" x14ac:dyDescent="0.2">
      <c r="A19" s="9" t="s">
        <v>17</v>
      </c>
      <c r="B19" s="3">
        <v>15.921999999999997</v>
      </c>
      <c r="C19" s="2">
        <v>11.129999999999995</v>
      </c>
      <c r="D19" s="2">
        <v>2.902000000000001</v>
      </c>
      <c r="E19" s="2">
        <v>0</v>
      </c>
      <c r="F19" s="2">
        <v>0</v>
      </c>
      <c r="G19" s="2">
        <v>0</v>
      </c>
      <c r="H19" s="2">
        <v>3.1970000000000027</v>
      </c>
      <c r="I19" s="2">
        <v>1.480000000000004</v>
      </c>
      <c r="J19" s="2">
        <v>0</v>
      </c>
      <c r="K19" s="2">
        <v>0</v>
      </c>
      <c r="L19" s="2">
        <v>0</v>
      </c>
      <c r="M19" s="2">
        <v>0</v>
      </c>
      <c r="N19" s="4">
        <v>34.631</v>
      </c>
    </row>
    <row r="20" spans="1:29" ht="16.5" customHeight="1" x14ac:dyDescent="0.2">
      <c r="A20" s="9" t="s">
        <v>18</v>
      </c>
      <c r="B20" s="3">
        <v>134.56800000000001</v>
      </c>
      <c r="C20" s="2">
        <v>149.196</v>
      </c>
      <c r="D20" s="2">
        <v>154.834</v>
      </c>
      <c r="E20" s="2">
        <v>156.90100000000001</v>
      </c>
      <c r="F20" s="2">
        <v>156.36000000000001</v>
      </c>
      <c r="G20" s="2">
        <v>135.79599999999999</v>
      </c>
      <c r="H20" s="2">
        <v>134.678</v>
      </c>
      <c r="I20" s="2">
        <v>145.036</v>
      </c>
      <c r="J20" s="2">
        <v>127.80800000000001</v>
      </c>
      <c r="K20" s="2">
        <v>114.739</v>
      </c>
      <c r="L20" s="2">
        <v>117.018</v>
      </c>
      <c r="M20" s="2">
        <v>151.755</v>
      </c>
      <c r="N20" s="4">
        <v>1678.6889999999999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v>0</v>
      </c>
    </row>
    <row r="22" spans="1:29" ht="16.5" customHeight="1" x14ac:dyDescent="0.2">
      <c r="A22" s="9" t="s">
        <v>20</v>
      </c>
      <c r="B22" s="3">
        <v>106.532</v>
      </c>
      <c r="C22" s="2">
        <v>69.27</v>
      </c>
      <c r="D22" s="2">
        <v>95.421000000000006</v>
      </c>
      <c r="E22" s="2">
        <v>108.548</v>
      </c>
      <c r="F22" s="2">
        <v>115.06</v>
      </c>
      <c r="G22" s="2">
        <v>102.601</v>
      </c>
      <c r="H22" s="2">
        <v>106.503</v>
      </c>
      <c r="I22" s="2">
        <v>106.374</v>
      </c>
      <c r="J22" s="2">
        <v>101.167</v>
      </c>
      <c r="K22" s="2">
        <v>100.88800000000001</v>
      </c>
      <c r="L22" s="2">
        <v>88.591999999999999</v>
      </c>
      <c r="M22" s="2">
        <v>110.84399999999999</v>
      </c>
      <c r="N22" s="4">
        <v>1211.8000000000002</v>
      </c>
    </row>
    <row r="23" spans="1:29" ht="16.5" customHeight="1" x14ac:dyDescent="0.2">
      <c r="A23" s="9" t="s">
        <v>21</v>
      </c>
      <c r="B23" s="3">
        <v>5.2370000000000001</v>
      </c>
      <c r="C23" s="2">
        <v>4.0999999999999996</v>
      </c>
      <c r="D23" s="2">
        <v>4.4770000000000003</v>
      </c>
      <c r="E23" s="2">
        <v>6.3079999999999998</v>
      </c>
      <c r="F23" s="2">
        <v>2.4729999999999999</v>
      </c>
      <c r="G23" s="2">
        <v>6.6440000000000001</v>
      </c>
      <c r="H23" s="2">
        <v>1.829</v>
      </c>
      <c r="I23" s="2">
        <v>3.3879999999999999</v>
      </c>
      <c r="J23" s="2">
        <v>9.7029999999999994</v>
      </c>
      <c r="K23" s="2">
        <v>6.1840000000000002</v>
      </c>
      <c r="L23" s="2">
        <v>10.101000000000001</v>
      </c>
      <c r="M23" s="2">
        <v>5.5990000000000002</v>
      </c>
      <c r="N23" s="4">
        <v>66.042999999999992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v>0</v>
      </c>
    </row>
    <row r="25" spans="1:29" ht="16.5" customHeight="1" x14ac:dyDescent="0.2">
      <c r="A25" s="9" t="s">
        <v>23</v>
      </c>
      <c r="B25" s="3">
        <v>768.10799999999995</v>
      </c>
      <c r="C25" s="2">
        <v>665.39099999999996</v>
      </c>
      <c r="D25" s="2">
        <v>661.35500000000002</v>
      </c>
      <c r="E25" s="2">
        <v>703.44600000000003</v>
      </c>
      <c r="F25" s="2">
        <v>760.86199999999997</v>
      </c>
      <c r="G25" s="2">
        <v>779.62599999999998</v>
      </c>
      <c r="H25" s="2">
        <v>834.49599999999998</v>
      </c>
      <c r="I25" s="2">
        <v>767.45700000000011</v>
      </c>
      <c r="J25" s="2">
        <v>716.81100000000004</v>
      </c>
      <c r="K25" s="2">
        <v>566.29500000000007</v>
      </c>
      <c r="L25" s="2">
        <v>658.28600000000006</v>
      </c>
      <c r="M25" s="2">
        <v>718.63700000000006</v>
      </c>
      <c r="N25" s="4">
        <v>8600.77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v>0</v>
      </c>
    </row>
    <row r="28" spans="1:29" ht="16.5" customHeight="1" x14ac:dyDescent="0.2">
      <c r="A28" s="9" t="s">
        <v>26</v>
      </c>
      <c r="B28" s="3">
        <v>32.287999999999997</v>
      </c>
      <c r="C28" s="2">
        <v>15.388</v>
      </c>
      <c r="D28" s="2">
        <v>29.850999999999999</v>
      </c>
      <c r="E28" s="2">
        <v>32.719000000000001</v>
      </c>
      <c r="F28" s="2">
        <v>42.328000000000003</v>
      </c>
      <c r="G28" s="2">
        <v>38.795999999999999</v>
      </c>
      <c r="H28" s="2">
        <v>34.92</v>
      </c>
      <c r="I28" s="2">
        <v>40.886000000000003</v>
      </c>
      <c r="J28" s="2">
        <v>45.869</v>
      </c>
      <c r="K28" s="2">
        <v>34.929000000000002</v>
      </c>
      <c r="L28" s="2">
        <v>39.470999999999997</v>
      </c>
      <c r="M28" s="2">
        <v>40.048000000000002</v>
      </c>
      <c r="N28" s="4">
        <v>427.49299999999994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v>0</v>
      </c>
    </row>
    <row r="30" spans="1:29" ht="16.5" customHeight="1" x14ac:dyDescent="0.2">
      <c r="A30" s="9" t="s">
        <v>28</v>
      </c>
      <c r="B30" s="3">
        <v>747.51199999999994</v>
      </c>
      <c r="C30" s="2">
        <v>698.096</v>
      </c>
      <c r="D30" s="2">
        <v>754.61300000000006</v>
      </c>
      <c r="E30" s="2">
        <v>834.24099999999999</v>
      </c>
      <c r="F30" s="2">
        <v>896.36699999999996</v>
      </c>
      <c r="G30" s="2">
        <v>835.00099999999998</v>
      </c>
      <c r="H30" s="2">
        <v>799.19399999999996</v>
      </c>
      <c r="I30" s="2">
        <v>783.30100000000004</v>
      </c>
      <c r="J30" s="2">
        <v>748.19600000000003</v>
      </c>
      <c r="K30" s="2">
        <v>618.09500000000003</v>
      </c>
      <c r="L30" s="2">
        <v>616.89700000000005</v>
      </c>
      <c r="M30" s="2">
        <v>822.19100000000003</v>
      </c>
      <c r="N30" s="4">
        <v>9153.7040000000015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v>0</v>
      </c>
    </row>
    <row r="32" spans="1:29" ht="16.5" customHeight="1" x14ac:dyDescent="0.2">
      <c r="A32" s="9" t="s">
        <v>30</v>
      </c>
      <c r="B32" s="3">
        <v>265.45</v>
      </c>
      <c r="C32" s="2">
        <v>229.20400000000001</v>
      </c>
      <c r="D32" s="2">
        <v>204.726</v>
      </c>
      <c r="E32" s="2">
        <v>247.84700000000001</v>
      </c>
      <c r="F32" s="2">
        <v>272</v>
      </c>
      <c r="G32" s="2">
        <v>241.643</v>
      </c>
      <c r="H32" s="2">
        <v>278.12099999999998</v>
      </c>
      <c r="I32" s="2">
        <v>278.99299999999999</v>
      </c>
      <c r="J32" s="2">
        <v>242.12899999999999</v>
      </c>
      <c r="K32" s="2">
        <v>207.30199999999999</v>
      </c>
      <c r="L32" s="2">
        <v>247.46299999999999</v>
      </c>
      <c r="M32" s="2">
        <v>247.571</v>
      </c>
      <c r="N32" s="4">
        <v>2962.4490000000001</v>
      </c>
    </row>
    <row r="33" spans="1:14" ht="16.5" customHeight="1" x14ac:dyDescent="0.2">
      <c r="A33" s="9" t="s">
        <v>31</v>
      </c>
      <c r="B33" s="3">
        <v>44.585999999999999</v>
      </c>
      <c r="C33" s="2">
        <v>38.549999999999997</v>
      </c>
      <c r="D33" s="2">
        <v>26.573</v>
      </c>
      <c r="E33" s="2">
        <v>33.424999999999997</v>
      </c>
      <c r="F33" s="2">
        <v>15.250999999999999</v>
      </c>
      <c r="G33" s="2">
        <v>32.457999999999998</v>
      </c>
      <c r="H33" s="2">
        <v>23.808</v>
      </c>
      <c r="I33" s="2">
        <v>25.007999999999999</v>
      </c>
      <c r="J33" s="2">
        <v>33.121000000000002</v>
      </c>
      <c r="K33" s="2">
        <v>44.704000000000001</v>
      </c>
      <c r="L33" s="2">
        <v>43.436</v>
      </c>
      <c r="M33" s="2">
        <v>43.365000000000002</v>
      </c>
      <c r="N33" s="4">
        <v>404.28500000000003</v>
      </c>
    </row>
    <row r="34" spans="1:14" ht="16.5" customHeight="1" x14ac:dyDescent="0.2">
      <c r="A34" s="9" t="s">
        <v>32</v>
      </c>
      <c r="B34" s="3">
        <v>11.762</v>
      </c>
      <c r="C34" s="2">
        <v>8.5579999999999998</v>
      </c>
      <c r="D34" s="2">
        <v>9.6829999999999998</v>
      </c>
      <c r="E34" s="2">
        <v>3.9180000000000001</v>
      </c>
      <c r="F34" s="2">
        <v>2.9260000000000002</v>
      </c>
      <c r="G34" s="2">
        <v>1.306</v>
      </c>
      <c r="H34" s="2">
        <v>0.84</v>
      </c>
      <c r="I34" s="2">
        <v>0</v>
      </c>
      <c r="J34" s="2">
        <v>1.4259999999999999</v>
      </c>
      <c r="K34" s="2">
        <v>4.9359999999999999</v>
      </c>
      <c r="L34" s="2">
        <v>2.1789999999999998</v>
      </c>
      <c r="M34" s="2">
        <v>1.863</v>
      </c>
      <c r="N34" s="4">
        <v>49.397000000000006</v>
      </c>
    </row>
    <row r="35" spans="1:14" ht="16.5" customHeight="1" x14ac:dyDescent="0.2">
      <c r="A35" s="9" t="s">
        <v>33</v>
      </c>
      <c r="B35" s="3">
        <v>76.876999999999995</v>
      </c>
      <c r="C35" s="2">
        <v>71.778999999999996</v>
      </c>
      <c r="D35" s="2">
        <v>70.617999999999995</v>
      </c>
      <c r="E35" s="2">
        <v>77.403999999999996</v>
      </c>
      <c r="F35" s="2">
        <v>81.959000000000003</v>
      </c>
      <c r="G35" s="2">
        <v>78.858000000000004</v>
      </c>
      <c r="H35" s="2">
        <v>78.212999999999994</v>
      </c>
      <c r="I35" s="2">
        <v>55.491999999999997</v>
      </c>
      <c r="J35" s="2">
        <v>77.816999999999993</v>
      </c>
      <c r="K35" s="2">
        <v>69.843999999999994</v>
      </c>
      <c r="L35" s="2">
        <v>64.608000000000004</v>
      </c>
      <c r="M35" s="2">
        <v>90.683000000000007</v>
      </c>
      <c r="N35" s="4">
        <v>894.15199999999982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v>0</v>
      </c>
    </row>
    <row r="37" spans="1:14" ht="16.5" customHeight="1" x14ac:dyDescent="0.2">
      <c r="A37" s="9" t="s">
        <v>35</v>
      </c>
      <c r="B37" s="3">
        <v>1756.2249999999999</v>
      </c>
      <c r="C37" s="2">
        <v>1619.769</v>
      </c>
      <c r="D37" s="2">
        <v>1704.5360000000001</v>
      </c>
      <c r="E37" s="2">
        <v>1852.952</v>
      </c>
      <c r="F37" s="2">
        <v>2014.6030000000001</v>
      </c>
      <c r="G37" s="2">
        <v>1858.2270000000003</v>
      </c>
      <c r="H37" s="2">
        <v>1929.2740000000001</v>
      </c>
      <c r="I37" s="2">
        <v>1847.586</v>
      </c>
      <c r="J37" s="2">
        <v>1736.713</v>
      </c>
      <c r="K37" s="2">
        <v>1668.7279999999998</v>
      </c>
      <c r="L37" s="2">
        <v>1709.4480000000003</v>
      </c>
      <c r="M37" s="2">
        <v>2014.9459999999999</v>
      </c>
      <c r="N37" s="4">
        <v>21713.006999999998</v>
      </c>
    </row>
    <row r="38" spans="1:14" ht="16.5" customHeight="1" x14ac:dyDescent="0.2">
      <c r="A38" s="9" t="s">
        <v>36</v>
      </c>
      <c r="B38" s="3">
        <v>16.651</v>
      </c>
      <c r="C38" s="2">
        <v>4.3819999999999997</v>
      </c>
      <c r="D38" s="2">
        <v>4.8849999999999998</v>
      </c>
      <c r="E38" s="2">
        <v>7.9939999999999998</v>
      </c>
      <c r="F38" s="2">
        <v>16.963999999999999</v>
      </c>
      <c r="G38" s="2">
        <v>24.558</v>
      </c>
      <c r="H38" s="2">
        <v>11.545999999999999</v>
      </c>
      <c r="I38" s="2">
        <v>6.258</v>
      </c>
      <c r="J38" s="2">
        <v>7.7960000000000003</v>
      </c>
      <c r="K38" s="2">
        <v>10.807</v>
      </c>
      <c r="L38" s="2">
        <v>8.9429999999999996</v>
      </c>
      <c r="M38" s="2">
        <v>10.423999999999999</v>
      </c>
      <c r="N38" s="4">
        <v>131.208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v>0</v>
      </c>
    </row>
    <row r="41" spans="1:14" ht="16.5" customHeight="1" x14ac:dyDescent="0.2">
      <c r="A41" s="9" t="s">
        <v>39</v>
      </c>
      <c r="B41" s="3">
        <v>4.5999999999999999E-2</v>
      </c>
      <c r="C41" s="2">
        <v>0.04</v>
      </c>
      <c r="D41" s="2">
        <v>0.13800000000000001</v>
      </c>
      <c r="E41" s="2">
        <v>0.39900000000000002</v>
      </c>
      <c r="F41" s="2">
        <v>4.5999999999999999E-2</v>
      </c>
      <c r="G41" s="2">
        <v>4.3999999999999997E-2</v>
      </c>
      <c r="H41" s="2">
        <v>4.4999999999999998E-2</v>
      </c>
      <c r="I41" s="2">
        <v>4.5999999999999999E-2</v>
      </c>
      <c r="J41" s="2">
        <v>4.4999999999999998E-2</v>
      </c>
      <c r="K41" s="2">
        <v>4.4999999999999998E-2</v>
      </c>
      <c r="L41" s="2">
        <v>3.4000000000000002E-2</v>
      </c>
      <c r="M41" s="2">
        <v>4.3999999999999997E-2</v>
      </c>
      <c r="N41" s="4">
        <v>0.97200000000000031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7.0000000000000001E-3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v>7.0000000000000001E-3</v>
      </c>
    </row>
    <row r="43" spans="1:14" ht="16.5" customHeight="1" x14ac:dyDescent="0.2">
      <c r="A43" s="9" t="s">
        <v>40</v>
      </c>
      <c r="B43" s="3">
        <v>319.52999999999997</v>
      </c>
      <c r="C43" s="2">
        <v>248.13499999999999</v>
      </c>
      <c r="D43" s="2">
        <v>305.09300000000002</v>
      </c>
      <c r="E43" s="2">
        <v>287.19400000000002</v>
      </c>
      <c r="F43" s="2">
        <v>282.84899999999999</v>
      </c>
      <c r="G43" s="2">
        <v>334.89299999999997</v>
      </c>
      <c r="H43" s="2">
        <v>346.00200000000001</v>
      </c>
      <c r="I43" s="2">
        <v>338.74900000000002</v>
      </c>
      <c r="J43" s="2">
        <v>295.59800000000001</v>
      </c>
      <c r="K43" s="2">
        <v>261.52800000000002</v>
      </c>
      <c r="L43" s="2">
        <v>281.52800000000002</v>
      </c>
      <c r="M43" s="2">
        <v>340.82100000000003</v>
      </c>
      <c r="N43" s="4">
        <v>3641.92</v>
      </c>
    </row>
    <row r="44" spans="1:14" ht="16.5" customHeight="1" x14ac:dyDescent="0.2">
      <c r="A44" s="9" t="s">
        <v>41</v>
      </c>
      <c r="B44" s="3">
        <v>27.42</v>
      </c>
      <c r="C44" s="2">
        <v>25.827999999999999</v>
      </c>
      <c r="D44" s="2">
        <v>29.242000000000001</v>
      </c>
      <c r="E44" s="2">
        <v>28.236999999999998</v>
      </c>
      <c r="F44" s="2">
        <v>33.552999999999997</v>
      </c>
      <c r="G44" s="2">
        <v>25.202999999999999</v>
      </c>
      <c r="H44" s="2">
        <v>33.734000000000002</v>
      </c>
      <c r="I44" s="2">
        <v>29.384</v>
      </c>
      <c r="J44" s="2">
        <v>31.096</v>
      </c>
      <c r="K44" s="2">
        <v>28.491</v>
      </c>
      <c r="L44" s="2">
        <v>21.648</v>
      </c>
      <c r="M44" s="2">
        <v>27.276</v>
      </c>
      <c r="N44" s="4">
        <v>341.11200000000002</v>
      </c>
    </row>
    <row r="45" spans="1:14" ht="16.5" customHeight="1" x14ac:dyDescent="0.2">
      <c r="A45" s="9" t="s">
        <v>42</v>
      </c>
      <c r="B45" s="3">
        <v>137.66999999999999</v>
      </c>
      <c r="C45" s="2">
        <v>119.684</v>
      </c>
      <c r="D45" s="2">
        <v>100.779</v>
      </c>
      <c r="E45" s="2">
        <v>136.857</v>
      </c>
      <c r="F45" s="2">
        <v>166.32400000000001</v>
      </c>
      <c r="G45" s="2">
        <v>155.505</v>
      </c>
      <c r="H45" s="2">
        <v>150.267</v>
      </c>
      <c r="I45" s="2">
        <v>142.24199999999999</v>
      </c>
      <c r="J45" s="2">
        <v>153.34200000000001</v>
      </c>
      <c r="K45" s="2">
        <v>142.69200000000001</v>
      </c>
      <c r="L45" s="2">
        <v>174.02099999999999</v>
      </c>
      <c r="M45" s="2">
        <v>136.191</v>
      </c>
      <c r="N45" s="4">
        <v>1715.5740000000001</v>
      </c>
    </row>
    <row r="46" spans="1:14" ht="16.5" customHeight="1" x14ac:dyDescent="0.2">
      <c r="A46" s="9" t="s">
        <v>43</v>
      </c>
      <c r="B46" s="3">
        <v>10.936</v>
      </c>
      <c r="C46" s="2">
        <v>12.324999999999999</v>
      </c>
      <c r="D46" s="2">
        <v>6.673</v>
      </c>
      <c r="E46" s="2">
        <v>10.801</v>
      </c>
      <c r="F46" s="2">
        <v>12.492000000000001</v>
      </c>
      <c r="G46" s="2">
        <v>7.3040000000000003</v>
      </c>
      <c r="H46" s="2">
        <v>18.3</v>
      </c>
      <c r="I46" s="2">
        <v>5.4560000000000004</v>
      </c>
      <c r="J46" s="2">
        <v>11.801</v>
      </c>
      <c r="K46" s="2">
        <v>9.7539999999999996</v>
      </c>
      <c r="L46" s="2">
        <v>3.2480000000000002</v>
      </c>
      <c r="M46" s="2">
        <v>10.988</v>
      </c>
      <c r="N46" s="4">
        <v>120.07800000000002</v>
      </c>
    </row>
    <row r="47" spans="1:14" ht="16.5" customHeight="1" x14ac:dyDescent="0.2">
      <c r="A47" s="9" t="s">
        <v>44</v>
      </c>
      <c r="B47" s="3">
        <v>6.5979999999999999</v>
      </c>
      <c r="C47" s="2">
        <v>6.806</v>
      </c>
      <c r="D47" s="2">
        <v>6.15</v>
      </c>
      <c r="E47" s="2">
        <v>7.3220000000000001</v>
      </c>
      <c r="F47" s="2">
        <v>8.1859999999999999</v>
      </c>
      <c r="G47" s="2">
        <v>4.6909999999999998</v>
      </c>
      <c r="H47" s="2">
        <v>6.5510000000000002</v>
      </c>
      <c r="I47" s="2">
        <v>6.7670000000000003</v>
      </c>
      <c r="J47" s="2">
        <v>7.9969999999999999</v>
      </c>
      <c r="K47" s="2">
        <v>5.681</v>
      </c>
      <c r="L47" s="2">
        <v>6.0330000000000004</v>
      </c>
      <c r="M47" s="2">
        <v>6.0419999999999998</v>
      </c>
      <c r="N47" s="4">
        <v>78.824000000000012</v>
      </c>
    </row>
    <row r="48" spans="1:14" ht="16.5" customHeight="1" x14ac:dyDescent="0.2">
      <c r="A48" s="9" t="s">
        <v>45</v>
      </c>
      <c r="B48" s="3">
        <v>280.64999999999998</v>
      </c>
      <c r="C48" s="2">
        <v>234.12</v>
      </c>
      <c r="D48" s="2">
        <v>227.88200000000001</v>
      </c>
      <c r="E48" s="2">
        <v>254.84899999999999</v>
      </c>
      <c r="F48" s="2">
        <v>294.29399999999998</v>
      </c>
      <c r="G48" s="2">
        <v>275.053</v>
      </c>
      <c r="H48" s="2">
        <v>297.03899999999999</v>
      </c>
      <c r="I48" s="2">
        <v>312.529</v>
      </c>
      <c r="J48" s="2">
        <v>295.44200000000001</v>
      </c>
      <c r="K48" s="2">
        <v>326.18700000000001</v>
      </c>
      <c r="L48" s="2">
        <v>317.89800000000002</v>
      </c>
      <c r="M48" s="2">
        <v>318.09100000000001</v>
      </c>
      <c r="N48" s="4">
        <v>3434.0340000000001</v>
      </c>
    </row>
    <row r="49" spans="1:14" ht="18" customHeight="1" x14ac:dyDescent="0.2">
      <c r="A49" s="10" t="s">
        <v>52</v>
      </c>
      <c r="B49" s="7">
        <v>192.71800000000076</v>
      </c>
      <c r="C49" s="5">
        <v>178.48100000000002</v>
      </c>
      <c r="D49" s="5">
        <v>190.84700000000066</v>
      </c>
      <c r="E49" s="5">
        <v>291.97699999999895</v>
      </c>
      <c r="F49" s="5">
        <v>99.937000000000012</v>
      </c>
      <c r="G49" s="5">
        <v>64.28</v>
      </c>
      <c r="H49" s="5">
        <v>45.276999999997315</v>
      </c>
      <c r="I49" s="5">
        <v>156.87999999999997</v>
      </c>
      <c r="J49" s="5">
        <v>136.959</v>
      </c>
      <c r="K49" s="5">
        <v>67.554999999999382</v>
      </c>
      <c r="L49" s="5">
        <v>39.923999999998159</v>
      </c>
      <c r="M49" s="5">
        <v>197.33199999999999</v>
      </c>
      <c r="N49" s="6">
        <v>1662.1669999999949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  <c r="N53" s="30"/>
    </row>
    <row r="54" spans="1:14" x14ac:dyDescent="0.2">
      <c r="I54"/>
      <c r="J54"/>
      <c r="K54"/>
      <c r="N54" s="30"/>
    </row>
    <row r="55" spans="1:14" x14ac:dyDescent="0.2">
      <c r="I55"/>
      <c r="J55"/>
      <c r="K55"/>
      <c r="N55" s="30"/>
    </row>
    <row r="56" spans="1:14" x14ac:dyDescent="0.2">
      <c r="I56"/>
      <c r="J56"/>
      <c r="K56"/>
      <c r="N56" s="30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14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14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14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14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14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A250"/>
  <sheetViews>
    <sheetView showGridLines="0" topLeftCell="G1" zoomScale="70" zoomScaleNormal="70" workbookViewId="0">
      <selection activeCell="A35" sqref="A35"/>
    </sheetView>
  </sheetViews>
  <sheetFormatPr baseColWidth="10" defaultColWidth="11.5" defaultRowHeight="14.25" x14ac:dyDescent="0.2"/>
  <cols>
    <col min="1" max="1" width="66.5" customWidth="1"/>
    <col min="7" max="8" width="11.5" customWidth="1"/>
    <col min="9" max="11" width="11.5" style="1" customWidth="1"/>
    <col min="12" max="13" width="11.5" customWidth="1"/>
    <col min="14" max="14" width="20.25" customWidth="1"/>
    <col min="15" max="15" width="3.75" customWidth="1"/>
    <col min="27" max="27" width="13.125" customWidth="1"/>
    <col min="43" max="43" width="9.75" customWidth="1"/>
    <col min="44" max="47" width="18.875" style="1" customWidth="1"/>
    <col min="48" max="48" width="13.75" style="1" customWidth="1"/>
    <col min="49" max="53" width="18.875" style="1" customWidth="1"/>
  </cols>
  <sheetData>
    <row r="1" spans="1:53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Q1" s="53"/>
      <c r="AE1" s="53"/>
    </row>
    <row r="2" spans="1:53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3" spans="1:53" x14ac:dyDescent="0.2">
      <c r="AV3" s="81"/>
    </row>
    <row r="4" spans="1:53" s="16" customFormat="1" ht="21" customHeight="1" x14ac:dyDescent="0.2">
      <c r="A4" s="11" t="s">
        <v>13</v>
      </c>
      <c r="B4" s="14">
        <v>44927</v>
      </c>
      <c r="C4" s="14">
        <v>44958</v>
      </c>
      <c r="D4" s="14">
        <v>44986</v>
      </c>
      <c r="E4" s="14">
        <v>45017</v>
      </c>
      <c r="F4" s="14">
        <v>45047</v>
      </c>
      <c r="G4" s="14">
        <v>45078</v>
      </c>
      <c r="H4" s="14">
        <v>45108</v>
      </c>
      <c r="I4" s="14">
        <v>45139</v>
      </c>
      <c r="J4" s="14">
        <v>45170</v>
      </c>
      <c r="K4" s="14">
        <v>45200</v>
      </c>
      <c r="L4" s="13">
        <v>45231</v>
      </c>
      <c r="M4" s="13">
        <v>45261</v>
      </c>
      <c r="N4" s="15" t="s">
        <v>58</v>
      </c>
      <c r="Q4" s="54"/>
      <c r="R4" s="54"/>
      <c r="S4" s="54"/>
      <c r="T4" s="54"/>
      <c r="U4" s="54"/>
      <c r="V4" s="54"/>
      <c r="W4" s="54"/>
      <c r="X4" s="54"/>
      <c r="Y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82"/>
      <c r="AS4" s="82"/>
      <c r="AT4" s="82"/>
      <c r="AU4" s="82"/>
      <c r="AV4" s="82"/>
      <c r="AW4" s="82"/>
      <c r="AX4" s="82"/>
      <c r="AY4" s="82"/>
      <c r="AZ4" s="82"/>
      <c r="BA4" s="82"/>
    </row>
    <row r="5" spans="1:53" s="21" customFormat="1" ht="21" customHeight="1" x14ac:dyDescent="0.2">
      <c r="A5" s="17" t="s">
        <v>0</v>
      </c>
      <c r="B5" s="18">
        <v>3.9E-2</v>
      </c>
      <c r="C5" s="19">
        <v>7.4999999999999997E-2</v>
      </c>
      <c r="D5" s="19">
        <v>7.1999999999999995E-2</v>
      </c>
      <c r="E5" s="19">
        <v>0</v>
      </c>
      <c r="F5" s="19">
        <v>1.0999999999999999E-2</v>
      </c>
      <c r="G5" s="19">
        <v>0.06</v>
      </c>
      <c r="H5" s="19">
        <v>7.0000000000000007E-2</v>
      </c>
      <c r="I5" s="45">
        <v>8.3000000000000004E-2</v>
      </c>
      <c r="J5" s="19">
        <v>0</v>
      </c>
      <c r="K5" s="19">
        <v>0.107</v>
      </c>
      <c r="L5" s="19">
        <v>1.7000000000000001E-2</v>
      </c>
      <c r="M5" s="19">
        <v>0.13800000000000001</v>
      </c>
      <c r="N5" s="20">
        <f>SUM(B5:M5)</f>
        <v>0.67200000000000004</v>
      </c>
      <c r="P5" s="34"/>
      <c r="Q5" s="34"/>
      <c r="R5" s="47"/>
      <c r="AR5" s="32"/>
      <c r="AS5" s="32"/>
      <c r="AT5" s="32"/>
      <c r="AU5" s="32"/>
      <c r="AV5" s="32"/>
      <c r="AW5" s="32"/>
      <c r="AX5" s="32"/>
      <c r="AY5" s="32"/>
      <c r="AZ5" s="32"/>
      <c r="BA5" s="32"/>
    </row>
    <row r="6" spans="1:53" s="21" customFormat="1" ht="21" customHeight="1" x14ac:dyDescent="0.2">
      <c r="A6" s="22" t="s">
        <v>1</v>
      </c>
      <c r="B6" s="23">
        <v>5487.3059999999996</v>
      </c>
      <c r="C6" s="24">
        <v>4809.8819999999996</v>
      </c>
      <c r="D6" s="24">
        <v>4692.058</v>
      </c>
      <c r="E6" s="24">
        <v>5619.31</v>
      </c>
      <c r="F6" s="24">
        <v>4796.7870000000003</v>
      </c>
      <c r="G6" s="24">
        <v>4856.4560000000001</v>
      </c>
      <c r="H6" s="24">
        <v>5529.4340000000002</v>
      </c>
      <c r="I6" s="24">
        <v>5484.9889999999996</v>
      </c>
      <c r="J6" s="24">
        <v>5087.9759999999997</v>
      </c>
      <c r="K6" s="24">
        <v>5304.4579999999996</v>
      </c>
      <c r="L6" s="24">
        <v>4796.5460000000003</v>
      </c>
      <c r="M6" s="24">
        <v>5093.4520000000002</v>
      </c>
      <c r="N6" s="25">
        <f>SUM(B6:M6)</f>
        <v>61558.654000000002</v>
      </c>
      <c r="P6" s="34"/>
      <c r="Q6" s="34"/>
      <c r="R6" s="47"/>
      <c r="AR6" s="32"/>
      <c r="AS6" s="32"/>
      <c r="AT6" s="32"/>
      <c r="AU6" s="83"/>
      <c r="AV6" s="84"/>
      <c r="AW6" s="32"/>
      <c r="AX6" s="32"/>
      <c r="AY6" s="32"/>
      <c r="AZ6" s="32"/>
      <c r="BA6" s="32"/>
    </row>
    <row r="7" spans="1:53" s="21" customFormat="1" ht="21" customHeight="1" x14ac:dyDescent="0.2">
      <c r="A7" s="26" t="s">
        <v>2</v>
      </c>
      <c r="B7" s="27">
        <v>-124.13900000000012</v>
      </c>
      <c r="C7" s="28">
        <v>167.08700000000044</v>
      </c>
      <c r="D7" s="28">
        <v>125.90899999999965</v>
      </c>
      <c r="E7" s="28">
        <v>-114.81800000000021</v>
      </c>
      <c r="F7" s="28">
        <v>-20.287000000000262</v>
      </c>
      <c r="G7" s="28">
        <v>-79.319999999999709</v>
      </c>
      <c r="H7" s="28">
        <v>-17.440999999999804</v>
      </c>
      <c r="I7" s="28">
        <v>155.89900000000034</v>
      </c>
      <c r="J7" s="28">
        <v>-163.60899999999947</v>
      </c>
      <c r="K7" s="28">
        <v>43.296000000000276</v>
      </c>
      <c r="L7" s="28">
        <v>-106.95700000000033</v>
      </c>
      <c r="M7" s="28">
        <v>-212.04200000000037</v>
      </c>
      <c r="N7" s="29">
        <f t="shared" ref="N7:N49" si="0">SUM(B7:M7)</f>
        <v>-346.42199999999957</v>
      </c>
      <c r="P7" s="34"/>
      <c r="Q7" s="34"/>
      <c r="R7" s="47"/>
      <c r="AR7" s="32"/>
      <c r="AS7" s="32"/>
      <c r="AT7" s="32"/>
      <c r="AU7" s="83"/>
      <c r="AV7" s="84"/>
      <c r="AW7" s="32"/>
      <c r="AX7" s="32"/>
      <c r="AY7" s="32"/>
      <c r="AZ7" s="32"/>
      <c r="BA7" s="32"/>
    </row>
    <row r="8" spans="1:53" s="21" customFormat="1" ht="21" customHeight="1" x14ac:dyDescent="0.2">
      <c r="A8" s="26" t="s">
        <v>3</v>
      </c>
      <c r="B8" s="27">
        <v>133.142</v>
      </c>
      <c r="C8" s="28">
        <v>252.18</v>
      </c>
      <c r="D8" s="28">
        <v>-243.44499999999999</v>
      </c>
      <c r="E8" s="28">
        <v>407.89299999999997</v>
      </c>
      <c r="F8" s="28">
        <v>-200.58600000000001</v>
      </c>
      <c r="G8" s="28">
        <v>24.064</v>
      </c>
      <c r="H8" s="28">
        <v>33.225999999999999</v>
      </c>
      <c r="I8" s="28">
        <v>93.311999999999998</v>
      </c>
      <c r="J8" s="28">
        <v>-320.77199999999999</v>
      </c>
      <c r="K8" s="28">
        <v>176.79</v>
      </c>
      <c r="L8" s="28">
        <v>-295.29300000000001</v>
      </c>
      <c r="M8" s="28">
        <v>-387.00400000000002</v>
      </c>
      <c r="N8" s="29">
        <f t="shared" si="0"/>
        <v>-326.49300000000005</v>
      </c>
      <c r="P8" s="34"/>
      <c r="Q8" s="34"/>
      <c r="R8" s="47"/>
      <c r="AR8" s="32"/>
      <c r="AS8" s="32"/>
      <c r="AT8" s="32"/>
      <c r="AU8" s="83"/>
      <c r="AV8" s="84"/>
      <c r="AW8" s="32"/>
      <c r="AX8" s="32"/>
      <c r="AY8" s="32"/>
      <c r="AZ8" s="32"/>
      <c r="BA8" s="32"/>
    </row>
    <row r="9" spans="1:53" s="21" customFormat="1" ht="21" customHeight="1" x14ac:dyDescent="0.2">
      <c r="A9" s="26" t="s">
        <v>4</v>
      </c>
      <c r="B9" s="27">
        <v>-26.078999999999994</v>
      </c>
      <c r="C9" s="28">
        <v>119.44900000000001</v>
      </c>
      <c r="D9" s="28">
        <v>141.161</v>
      </c>
      <c r="E9" s="28">
        <v>-122.75399999999996</v>
      </c>
      <c r="F9" s="28">
        <v>49.684000000000026</v>
      </c>
      <c r="G9" s="28">
        <v>9.9429999999999978</v>
      </c>
      <c r="H9" s="28">
        <v>8.9040000000000035</v>
      </c>
      <c r="I9" s="28">
        <v>165.02799999999996</v>
      </c>
      <c r="J9" s="28">
        <v>-96.096000000000004</v>
      </c>
      <c r="K9" s="28">
        <v>65.545000000000016</v>
      </c>
      <c r="L9" s="28">
        <v>-70.774999999999977</v>
      </c>
      <c r="M9" s="28">
        <v>-269.74599999999998</v>
      </c>
      <c r="N9" s="29">
        <f t="shared" si="0"/>
        <v>-25.735999999999933</v>
      </c>
      <c r="P9" s="34"/>
      <c r="Q9" s="34"/>
      <c r="R9" s="47"/>
      <c r="AR9" s="32"/>
      <c r="AS9" s="32"/>
      <c r="AT9" s="32"/>
      <c r="AU9" s="32"/>
      <c r="AV9" s="84"/>
      <c r="AW9" s="32"/>
      <c r="AX9" s="32"/>
      <c r="AY9" s="32"/>
      <c r="AZ9" s="32"/>
      <c r="BA9" s="32"/>
    </row>
    <row r="10" spans="1:53" s="21" customFormat="1" ht="21" customHeight="1" x14ac:dyDescent="0.2">
      <c r="A10" s="26" t="s">
        <v>5</v>
      </c>
      <c r="B10" s="27">
        <v>107.117</v>
      </c>
      <c r="C10" s="28">
        <v>21.338999999999999</v>
      </c>
      <c r="D10" s="28">
        <v>22.436</v>
      </c>
      <c r="E10" s="28">
        <v>39.403999999999996</v>
      </c>
      <c r="F10" s="28">
        <v>124.274</v>
      </c>
      <c r="G10" s="28">
        <v>187.14800000000002</v>
      </c>
      <c r="H10" s="28">
        <v>36.851999999999997</v>
      </c>
      <c r="I10" s="28">
        <v>158.27600000000001</v>
      </c>
      <c r="J10" s="28">
        <v>79.831000000000003</v>
      </c>
      <c r="K10" s="28">
        <v>34.192</v>
      </c>
      <c r="L10" s="28">
        <v>48.355000000000004</v>
      </c>
      <c r="M10" s="28">
        <v>40.655000000000001</v>
      </c>
      <c r="N10" s="29">
        <f t="shared" si="0"/>
        <v>899.87900000000002</v>
      </c>
      <c r="P10" s="34"/>
      <c r="Q10" s="34"/>
      <c r="R10" s="47"/>
      <c r="AR10" s="32"/>
      <c r="AS10" s="32"/>
      <c r="AT10" s="32"/>
      <c r="AU10" s="32"/>
      <c r="AV10" s="84"/>
      <c r="AW10" s="32"/>
      <c r="AX10" s="32"/>
      <c r="AY10" s="32"/>
      <c r="AZ10" s="32"/>
      <c r="BA10" s="32"/>
    </row>
    <row r="11" spans="1:53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55"/>
      <c r="R11" s="47"/>
      <c r="AR11" s="32"/>
      <c r="AS11" s="32"/>
      <c r="AT11" s="32"/>
      <c r="AU11" s="83"/>
      <c r="AV11" s="84"/>
      <c r="AW11" s="32"/>
      <c r="AX11" s="32"/>
      <c r="AY11" s="32"/>
      <c r="AZ11" s="32"/>
      <c r="BA11" s="32"/>
    </row>
    <row r="12" spans="1:53" s="31" customFormat="1" ht="21" customHeight="1" x14ac:dyDescent="0.2">
      <c r="A12" s="22" t="s">
        <v>7</v>
      </c>
      <c r="B12" s="24">
        <v>5363.2599999999993</v>
      </c>
      <c r="C12" s="24">
        <v>4626.7539999999999</v>
      </c>
      <c r="D12" s="24">
        <v>4942.7589999999991</v>
      </c>
      <c r="E12" s="24">
        <v>5258.7569999999996</v>
      </c>
      <c r="F12" s="24">
        <v>5051.6870000000008</v>
      </c>
      <c r="G12" s="24">
        <v>4930.3370000000004</v>
      </c>
      <c r="H12" s="24">
        <v>5506.7849999999999</v>
      </c>
      <c r="I12" s="24">
        <v>5540.9069999999992</v>
      </c>
      <c r="J12" s="24">
        <v>5421.0660000000007</v>
      </c>
      <c r="K12" s="24">
        <v>5139.7179999999998</v>
      </c>
      <c r="L12" s="24">
        <v>5104.0289999999986</v>
      </c>
      <c r="M12" s="24">
        <v>5578.9529999999995</v>
      </c>
      <c r="N12" s="25">
        <f>SUM(B12:M12)</f>
        <v>62465.011999999995</v>
      </c>
      <c r="P12" s="34"/>
      <c r="Q12" s="34"/>
      <c r="R12" s="47"/>
      <c r="S12" s="56"/>
      <c r="T12" s="56"/>
      <c r="U12" s="56"/>
      <c r="V12" s="56"/>
      <c r="W12" s="56"/>
      <c r="X12" s="56"/>
      <c r="Y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85"/>
      <c r="AS12" s="85"/>
      <c r="AT12" s="85"/>
      <c r="AU12" s="83"/>
      <c r="AV12" s="86"/>
      <c r="AW12" s="85"/>
      <c r="AX12" s="85"/>
      <c r="AY12" s="85"/>
      <c r="AZ12" s="85"/>
      <c r="BA12" s="85"/>
    </row>
    <row r="13" spans="1:53" s="21" customFormat="1" ht="21" customHeight="1" x14ac:dyDescent="0.2">
      <c r="A13" s="26" t="s">
        <v>12</v>
      </c>
      <c r="B13" s="27">
        <v>5354.2030000000004</v>
      </c>
      <c r="C13" s="28">
        <v>4557.777</v>
      </c>
      <c r="D13" s="28">
        <v>4935.5749999999998</v>
      </c>
      <c r="E13" s="28">
        <v>5211.4170000000004</v>
      </c>
      <c r="F13" s="28">
        <v>4997.384</v>
      </c>
      <c r="G13" s="28">
        <v>4832.4520000000002</v>
      </c>
      <c r="H13" s="28">
        <v>5496.2780000000002</v>
      </c>
      <c r="I13" s="28">
        <v>5391.76</v>
      </c>
      <c r="J13" s="28">
        <v>5408.7479999999996</v>
      </c>
      <c r="K13" s="28">
        <v>5127.7749999999996</v>
      </c>
      <c r="L13" s="28">
        <v>5091.8559999999998</v>
      </c>
      <c r="M13" s="28">
        <v>5480.5940000000001</v>
      </c>
      <c r="N13" s="29">
        <f t="shared" si="0"/>
        <v>61885.819000000003</v>
      </c>
      <c r="P13" s="34"/>
      <c r="Q13" s="34"/>
      <c r="R13" s="47"/>
      <c r="AR13" s="32"/>
      <c r="AS13" s="32"/>
      <c r="AT13" s="32"/>
      <c r="AU13" s="83"/>
      <c r="AV13" s="84"/>
      <c r="AW13" s="32"/>
      <c r="AX13" s="32"/>
      <c r="AY13" s="32"/>
      <c r="AZ13" s="32"/>
      <c r="BA13" s="32"/>
    </row>
    <row r="14" spans="1:53" s="21" customFormat="1" ht="21" customHeight="1" x14ac:dyDescent="0.2">
      <c r="A14" s="26" t="s">
        <v>8</v>
      </c>
      <c r="B14" s="27">
        <v>173.92499999999836</v>
      </c>
      <c r="C14" s="28">
        <v>20.082000000001244</v>
      </c>
      <c r="D14" s="28">
        <v>155.42199999999866</v>
      </c>
      <c r="E14" s="28">
        <v>50.17699999999968</v>
      </c>
      <c r="F14" s="28">
        <v>30.166000000001077</v>
      </c>
      <c r="G14" s="28">
        <v>12.653000000002066</v>
      </c>
      <c r="H14" s="28">
        <v>207.57600000000093</v>
      </c>
      <c r="I14" s="46">
        <v>5.1539999999995416</v>
      </c>
      <c r="J14" s="28">
        <v>87.34900000000107</v>
      </c>
      <c r="K14" s="28">
        <v>7.6409999999996217</v>
      </c>
      <c r="L14" s="28">
        <v>148.61899999999878</v>
      </c>
      <c r="M14" s="28">
        <v>83.568999999998596</v>
      </c>
      <c r="N14" s="29">
        <f t="shared" si="0"/>
        <v>982.33299999999963</v>
      </c>
      <c r="P14" s="36"/>
      <c r="Q14" s="34"/>
      <c r="R14" s="47"/>
      <c r="S14" s="42"/>
      <c r="T14" s="42"/>
      <c r="U14" s="42"/>
      <c r="V14" s="42"/>
      <c r="W14" s="42"/>
      <c r="X14" s="42"/>
      <c r="Y14" s="42"/>
      <c r="AA14" s="42"/>
      <c r="AB14" s="42"/>
      <c r="AC14" s="42"/>
      <c r="AD14" s="42"/>
      <c r="AR14" s="32"/>
      <c r="AS14" s="32"/>
      <c r="AT14" s="32"/>
      <c r="AU14" s="83"/>
      <c r="AV14" s="84"/>
      <c r="AW14" s="32"/>
      <c r="AX14" s="32"/>
      <c r="AY14" s="32"/>
      <c r="AZ14" s="32"/>
      <c r="BA14" s="32"/>
    </row>
    <row r="15" spans="1:53" s="32" customFormat="1" ht="21" customHeight="1" x14ac:dyDescent="0.2">
      <c r="A15" s="22" t="s">
        <v>9</v>
      </c>
      <c r="B15" s="24">
        <v>5189.3350000000009</v>
      </c>
      <c r="C15" s="24">
        <v>4606.6719999999987</v>
      </c>
      <c r="D15" s="24">
        <v>4787.3370000000004</v>
      </c>
      <c r="E15" s="24">
        <v>5208.58</v>
      </c>
      <c r="F15" s="24">
        <v>5021.5209999999997</v>
      </c>
      <c r="G15" s="24">
        <v>4917.6839999999993</v>
      </c>
      <c r="H15" s="24">
        <v>5299.2089999999989</v>
      </c>
      <c r="I15" s="24">
        <v>5535.7529999999997</v>
      </c>
      <c r="J15" s="24">
        <v>5333.7169999999996</v>
      </c>
      <c r="K15" s="24">
        <v>5132.0770000000002</v>
      </c>
      <c r="L15" s="24">
        <v>4955.4100000000008</v>
      </c>
      <c r="M15" s="24">
        <v>5495.3840000000009</v>
      </c>
      <c r="N15" s="25">
        <f t="shared" si="0"/>
        <v>61482.678999999996</v>
      </c>
      <c r="Q15" s="21"/>
      <c r="R15" s="42"/>
      <c r="S15" s="42"/>
      <c r="T15" s="42"/>
      <c r="U15" s="42"/>
      <c r="V15" s="42"/>
      <c r="W15" s="42"/>
      <c r="X15" s="42"/>
      <c r="Y15" s="42"/>
      <c r="AA15" s="42"/>
      <c r="AB15" s="42"/>
      <c r="AC15" s="42"/>
      <c r="AD15" s="42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U15" s="83"/>
      <c r="AV15" s="84"/>
    </row>
    <row r="16" spans="1:53" ht="16.5" customHeight="1" x14ac:dyDescent="0.2">
      <c r="A16" s="9" t="s">
        <v>14</v>
      </c>
      <c r="B16" s="3">
        <v>231.304</v>
      </c>
      <c r="C16" s="2">
        <v>169.786</v>
      </c>
      <c r="D16" s="2">
        <v>159.54599999999999</v>
      </c>
      <c r="E16" s="2">
        <v>175.762</v>
      </c>
      <c r="F16" s="2">
        <v>166.983</v>
      </c>
      <c r="G16" s="2">
        <v>176.08099999999999</v>
      </c>
      <c r="H16" s="2">
        <v>183.81200000000001</v>
      </c>
      <c r="I16" s="2">
        <v>174.822</v>
      </c>
      <c r="J16" s="2">
        <v>173.73699999999999</v>
      </c>
      <c r="K16" s="2">
        <v>169.50700000000001</v>
      </c>
      <c r="L16" s="2">
        <v>140.24600000000001</v>
      </c>
      <c r="M16" s="2">
        <v>172.76499999999999</v>
      </c>
      <c r="N16" s="4">
        <f t="shared" si="0"/>
        <v>2094.3510000000001</v>
      </c>
    </row>
    <row r="17" spans="1:4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R17" s="38"/>
      <c r="S17" s="38"/>
      <c r="T17" s="38"/>
      <c r="U17" s="38"/>
      <c r="V17" s="38"/>
      <c r="W17" s="38"/>
      <c r="X17" s="38"/>
      <c r="Y17" s="38"/>
      <c r="AA17" s="38"/>
      <c r="AB17" s="38"/>
      <c r="AC17" s="38"/>
      <c r="AD17" s="38"/>
      <c r="AE17" s="38"/>
      <c r="AU17" s="87"/>
      <c r="AV17" s="88"/>
      <c r="AW17" s="88"/>
    </row>
    <row r="18" spans="1:49" ht="16.5" customHeight="1" x14ac:dyDescent="0.2">
      <c r="A18" s="9" t="s">
        <v>16</v>
      </c>
      <c r="B18" s="3">
        <v>92.911000000000001</v>
      </c>
      <c r="C18" s="2">
        <v>85.721000000000004</v>
      </c>
      <c r="D18" s="2">
        <v>79.081000000000003</v>
      </c>
      <c r="E18" s="2">
        <v>81.849999999999994</v>
      </c>
      <c r="F18" s="2">
        <v>88.628</v>
      </c>
      <c r="G18" s="2">
        <v>67.983999999999995</v>
      </c>
      <c r="H18" s="2">
        <v>82.361999999999995</v>
      </c>
      <c r="I18" s="2">
        <v>82.034999999999997</v>
      </c>
      <c r="J18" s="2">
        <v>73.355999999999995</v>
      </c>
      <c r="K18" s="2">
        <v>91.206999999999994</v>
      </c>
      <c r="L18" s="2">
        <v>111.19</v>
      </c>
      <c r="M18" s="2">
        <v>119.40300000000001</v>
      </c>
      <c r="N18" s="4">
        <f t="shared" si="0"/>
        <v>1055.7279999999998</v>
      </c>
      <c r="AU18" s="87"/>
      <c r="AV18" s="88"/>
      <c r="AW18" s="88"/>
    </row>
    <row r="19" spans="1:49" ht="16.5" customHeight="1" x14ac:dyDescent="0.2">
      <c r="A19" s="9" t="s">
        <v>17</v>
      </c>
      <c r="B19" s="3">
        <v>0</v>
      </c>
      <c r="C19" s="2">
        <v>25.503</v>
      </c>
      <c r="D19" s="2">
        <v>3.5169999999999959</v>
      </c>
      <c r="E19" s="2">
        <v>2.1740000000000066</v>
      </c>
      <c r="F19" s="2">
        <v>5.367999999999995</v>
      </c>
      <c r="G19" s="2">
        <v>0</v>
      </c>
      <c r="H19" s="2">
        <v>9.9540000000000077</v>
      </c>
      <c r="I19" s="2">
        <v>8.9690000000000083</v>
      </c>
      <c r="J19" s="2">
        <v>0</v>
      </c>
      <c r="K19" s="2">
        <v>8.9720000000000084</v>
      </c>
      <c r="L19" s="2">
        <v>38.56</v>
      </c>
      <c r="M19" s="2">
        <v>35.778000000000006</v>
      </c>
      <c r="N19" s="4">
        <f t="shared" si="0"/>
        <v>138.79500000000002</v>
      </c>
      <c r="AU19" s="87"/>
      <c r="AV19" s="88"/>
      <c r="AW19" s="88"/>
    </row>
    <row r="20" spans="1:49" ht="16.5" customHeight="1" x14ac:dyDescent="0.2">
      <c r="A20" s="9" t="s">
        <v>18</v>
      </c>
      <c r="B20" s="3">
        <v>158.685</v>
      </c>
      <c r="C20" s="2">
        <v>128.37799999999999</v>
      </c>
      <c r="D20" s="2">
        <v>124.334</v>
      </c>
      <c r="E20" s="2">
        <v>136.59</v>
      </c>
      <c r="F20" s="2">
        <v>132.00800000000001</v>
      </c>
      <c r="G20" s="2">
        <v>134.17400000000001</v>
      </c>
      <c r="H20" s="2">
        <v>143.654</v>
      </c>
      <c r="I20" s="2">
        <v>147.673</v>
      </c>
      <c r="J20" s="2">
        <v>140.24100000000001</v>
      </c>
      <c r="K20" s="2">
        <v>127.343</v>
      </c>
      <c r="L20" s="2">
        <v>119.779</v>
      </c>
      <c r="M20" s="2">
        <v>148.899</v>
      </c>
      <c r="N20" s="4">
        <f t="shared" si="0"/>
        <v>1641.7580000000003</v>
      </c>
      <c r="AU20" s="87"/>
      <c r="AV20" s="88"/>
      <c r="AW20" s="88"/>
    </row>
    <row r="21" spans="1:4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AU21" s="87"/>
      <c r="AV21" s="88"/>
      <c r="AW21" s="88"/>
    </row>
    <row r="22" spans="1:49" ht="16.5" customHeight="1" x14ac:dyDescent="0.2">
      <c r="A22" s="9" t="s">
        <v>20</v>
      </c>
      <c r="B22" s="3">
        <v>101.20699999999999</v>
      </c>
      <c r="C22" s="2">
        <v>86.972999999999999</v>
      </c>
      <c r="D22" s="2">
        <v>94.97</v>
      </c>
      <c r="E22" s="2">
        <v>99.983000000000004</v>
      </c>
      <c r="F22" s="2">
        <v>104.905</v>
      </c>
      <c r="G22" s="2">
        <v>92.682000000000002</v>
      </c>
      <c r="H22" s="2">
        <v>103.178</v>
      </c>
      <c r="I22" s="2">
        <v>107.002</v>
      </c>
      <c r="J22" s="2">
        <v>90.015000000000001</v>
      </c>
      <c r="K22" s="2">
        <v>18.103999999999999</v>
      </c>
      <c r="L22" s="2">
        <v>0</v>
      </c>
      <c r="M22" s="2">
        <v>46.793999999999997</v>
      </c>
      <c r="N22" s="4">
        <f t="shared" si="0"/>
        <v>945.81299999999999</v>
      </c>
      <c r="AU22" s="87"/>
      <c r="AV22" s="88"/>
      <c r="AW22" s="88"/>
    </row>
    <row r="23" spans="1:49" ht="16.5" customHeight="1" x14ac:dyDescent="0.2">
      <c r="A23" s="9" t="s">
        <v>21</v>
      </c>
      <c r="B23" s="3">
        <v>9.3889999999999993</v>
      </c>
      <c r="C23" s="2">
        <v>4.343</v>
      </c>
      <c r="D23" s="2">
        <v>15.382999999999999</v>
      </c>
      <c r="E23" s="2">
        <v>11.561999999999999</v>
      </c>
      <c r="F23" s="2">
        <v>10.743</v>
      </c>
      <c r="G23" s="2">
        <v>13.757999999999999</v>
      </c>
      <c r="H23" s="2">
        <v>8.2390000000000008</v>
      </c>
      <c r="I23" s="2">
        <v>6.5359999999999996</v>
      </c>
      <c r="J23" s="2">
        <v>5.7190000000000003</v>
      </c>
      <c r="K23" s="2">
        <v>4.4180000000000001</v>
      </c>
      <c r="L23" s="2">
        <v>2.8580000000000001</v>
      </c>
      <c r="M23" s="2">
        <v>4.5110000000000001</v>
      </c>
      <c r="N23" s="4">
        <f t="shared" si="0"/>
        <v>97.459000000000003</v>
      </c>
      <c r="AU23" s="87"/>
      <c r="AV23" s="88"/>
      <c r="AW23" s="88"/>
    </row>
    <row r="24" spans="1:4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AU24" s="87"/>
      <c r="AV24" s="88"/>
      <c r="AW24" s="88"/>
    </row>
    <row r="25" spans="1:49" ht="16.5" customHeight="1" x14ac:dyDescent="0.2">
      <c r="A25" s="9" t="s">
        <v>23</v>
      </c>
      <c r="B25" s="3">
        <v>697.04399999999998</v>
      </c>
      <c r="C25" s="2">
        <v>612.63</v>
      </c>
      <c r="D25" s="2">
        <v>559.84999999999991</v>
      </c>
      <c r="E25" s="2">
        <v>727.69600000000003</v>
      </c>
      <c r="F25" s="2">
        <v>787.1869999999999</v>
      </c>
      <c r="G25" s="2">
        <v>783.81799999999998</v>
      </c>
      <c r="H25" s="2">
        <v>740.45699999999999</v>
      </c>
      <c r="I25" s="2">
        <v>765.04399999999998</v>
      </c>
      <c r="J25" s="2">
        <v>751.98599999999999</v>
      </c>
      <c r="K25" s="2">
        <v>715.875</v>
      </c>
      <c r="L25" s="2">
        <v>745.91600000000005</v>
      </c>
      <c r="M25" s="2">
        <v>761.822</v>
      </c>
      <c r="N25" s="4">
        <f t="shared" si="0"/>
        <v>8649.3249999999989</v>
      </c>
      <c r="AU25" s="87"/>
      <c r="AV25" s="88"/>
      <c r="AW25" s="88"/>
    </row>
    <row r="26" spans="1:4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AU26" s="87"/>
      <c r="AV26" s="88"/>
      <c r="AW26" s="88"/>
    </row>
    <row r="27" spans="1:4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AU27" s="87"/>
      <c r="AV27" s="88"/>
      <c r="AW27" s="88"/>
    </row>
    <row r="28" spans="1:49" ht="16.5" customHeight="1" x14ac:dyDescent="0.2">
      <c r="A28" s="9" t="s">
        <v>26</v>
      </c>
      <c r="B28" s="3">
        <v>31.808</v>
      </c>
      <c r="C28" s="2">
        <v>30.06</v>
      </c>
      <c r="D28" s="2">
        <v>41.706000000000003</v>
      </c>
      <c r="E28" s="2">
        <v>39.786000000000001</v>
      </c>
      <c r="F28" s="2">
        <v>41.301000000000002</v>
      </c>
      <c r="G28" s="2">
        <v>42.518999999999998</v>
      </c>
      <c r="H28" s="2">
        <v>38.244999999999997</v>
      </c>
      <c r="I28" s="2">
        <v>44.468000000000004</v>
      </c>
      <c r="J28" s="2">
        <v>44.734000000000002</v>
      </c>
      <c r="K28" s="2">
        <v>16.318999999999999</v>
      </c>
      <c r="L28" s="2">
        <v>0</v>
      </c>
      <c r="M28" s="2">
        <v>27.428999999999998</v>
      </c>
      <c r="N28" s="4">
        <f t="shared" si="0"/>
        <v>398.375</v>
      </c>
      <c r="AU28" s="87"/>
      <c r="AV28" s="88"/>
      <c r="AW28" s="88"/>
    </row>
    <row r="29" spans="1:49" ht="33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AU29" s="87"/>
      <c r="AV29" s="88"/>
      <c r="AW29" s="88"/>
    </row>
    <row r="30" spans="1:49" ht="21.75" customHeight="1" x14ac:dyDescent="0.2">
      <c r="A30" s="9" t="s">
        <v>28</v>
      </c>
      <c r="B30" s="3">
        <v>770.02099999999996</v>
      </c>
      <c r="C30" s="2">
        <v>662.08799999999997</v>
      </c>
      <c r="D30" s="2">
        <v>727.11400000000003</v>
      </c>
      <c r="E30" s="2">
        <v>747.34299999999996</v>
      </c>
      <c r="F30" s="2">
        <v>681.61</v>
      </c>
      <c r="G30" s="2">
        <v>695.15499999999997</v>
      </c>
      <c r="H30" s="2">
        <v>799.71100000000001</v>
      </c>
      <c r="I30" s="2">
        <v>841.99900000000002</v>
      </c>
      <c r="J30" s="2">
        <v>864.85199999999998</v>
      </c>
      <c r="K30" s="2">
        <v>845.46699999999998</v>
      </c>
      <c r="L30" s="2">
        <v>855.29399999999998</v>
      </c>
      <c r="M30" s="2">
        <v>896.38599999999997</v>
      </c>
      <c r="N30" s="4">
        <f t="shared" si="0"/>
        <v>9387.0400000000009</v>
      </c>
      <c r="AU30" s="87"/>
      <c r="AV30" s="88"/>
      <c r="AW30" s="88"/>
    </row>
    <row r="31" spans="1:4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  <c r="AU31" s="87"/>
      <c r="AV31" s="88"/>
      <c r="AW31" s="88"/>
    </row>
    <row r="32" spans="1:49" ht="16.5" customHeight="1" x14ac:dyDescent="0.2">
      <c r="A32" s="9" t="s">
        <v>30</v>
      </c>
      <c r="B32" s="3">
        <v>257.39400000000001</v>
      </c>
      <c r="C32" s="2">
        <v>201.65299999999999</v>
      </c>
      <c r="D32" s="2">
        <v>122.59399999999999</v>
      </c>
      <c r="E32" s="2">
        <v>255.571</v>
      </c>
      <c r="F32" s="2">
        <v>288.99900000000002</v>
      </c>
      <c r="G32" s="2">
        <v>243.96899999999999</v>
      </c>
      <c r="H32" s="2">
        <v>244.946</v>
      </c>
      <c r="I32" s="2">
        <v>248.34299999999999</v>
      </c>
      <c r="J32" s="2">
        <v>223.68899999999999</v>
      </c>
      <c r="K32" s="2">
        <v>118.45699999999999</v>
      </c>
      <c r="L32" s="2">
        <v>83.578999999999994</v>
      </c>
      <c r="M32" s="2">
        <v>202.62200000000001</v>
      </c>
      <c r="N32" s="4">
        <f t="shared" si="0"/>
        <v>2491.8160000000003</v>
      </c>
      <c r="AU32" s="87"/>
      <c r="AV32" s="88"/>
      <c r="AW32" s="88"/>
    </row>
    <row r="33" spans="1:49" ht="16.5" customHeight="1" x14ac:dyDescent="0.2">
      <c r="A33" s="9" t="s">
        <v>31</v>
      </c>
      <c r="B33" s="3">
        <v>25.396000000000001</v>
      </c>
      <c r="C33" s="2">
        <v>29.622</v>
      </c>
      <c r="D33" s="2">
        <v>15.27</v>
      </c>
      <c r="E33" s="2">
        <v>17.908000000000001</v>
      </c>
      <c r="F33" s="2">
        <v>8.5239999999999991</v>
      </c>
      <c r="G33" s="2">
        <v>17.242000000000001</v>
      </c>
      <c r="H33" s="2">
        <v>23.145</v>
      </c>
      <c r="I33" s="2">
        <v>21.039000000000001</v>
      </c>
      <c r="J33" s="2">
        <v>28.672999999999998</v>
      </c>
      <c r="K33" s="2">
        <v>17.536000000000001</v>
      </c>
      <c r="L33" s="2">
        <v>35.719000000000001</v>
      </c>
      <c r="M33" s="2">
        <v>30.881</v>
      </c>
      <c r="N33" s="4">
        <f t="shared" si="0"/>
        <v>270.95500000000004</v>
      </c>
      <c r="AU33" s="87"/>
      <c r="AV33" s="88"/>
      <c r="AW33" s="88"/>
    </row>
    <row r="34" spans="1:49" ht="16.5" customHeight="1" x14ac:dyDescent="0.2">
      <c r="A34" s="9" t="s">
        <v>32</v>
      </c>
      <c r="B34" s="3">
        <v>7.1429999999999998</v>
      </c>
      <c r="C34" s="2">
        <v>12.648</v>
      </c>
      <c r="D34" s="2">
        <v>17.295000000000002</v>
      </c>
      <c r="E34" s="2">
        <v>3.024</v>
      </c>
      <c r="F34" s="2">
        <v>2.5009999999999999</v>
      </c>
      <c r="G34" s="2">
        <v>1.585</v>
      </c>
      <c r="H34" s="2">
        <v>2.9470000000000001</v>
      </c>
      <c r="I34" s="2">
        <v>1.994</v>
      </c>
      <c r="J34" s="2">
        <v>4.8710000000000004</v>
      </c>
      <c r="K34" s="2">
        <v>11.677</v>
      </c>
      <c r="L34" s="2">
        <v>10.183999999999999</v>
      </c>
      <c r="M34" s="2">
        <v>16.524000000000001</v>
      </c>
      <c r="N34" s="4">
        <f t="shared" si="0"/>
        <v>92.393000000000001</v>
      </c>
      <c r="AU34" s="87"/>
      <c r="AV34" s="88"/>
      <c r="AW34" s="88"/>
    </row>
    <row r="35" spans="1:49" ht="16.5" customHeight="1" x14ac:dyDescent="0.2">
      <c r="A35" s="9" t="s">
        <v>33</v>
      </c>
      <c r="B35" s="3">
        <v>65.213999999999999</v>
      </c>
      <c r="C35" s="2">
        <v>59.210999999999999</v>
      </c>
      <c r="D35" s="2">
        <v>75.263999999999996</v>
      </c>
      <c r="E35" s="2">
        <v>69.869</v>
      </c>
      <c r="F35" s="2">
        <v>69.680999999999997</v>
      </c>
      <c r="G35" s="2">
        <v>49.259</v>
      </c>
      <c r="H35" s="2">
        <v>67.546000000000006</v>
      </c>
      <c r="I35" s="2">
        <v>69.353999999999999</v>
      </c>
      <c r="J35" s="2">
        <v>67.876000000000005</v>
      </c>
      <c r="K35" s="2">
        <v>28.199000000000002</v>
      </c>
      <c r="L35" s="2">
        <v>0</v>
      </c>
      <c r="M35" s="2">
        <v>42.896000000000001</v>
      </c>
      <c r="N35" s="4">
        <f t="shared" si="0"/>
        <v>664.36899999999991</v>
      </c>
      <c r="AU35" s="87"/>
      <c r="AV35" s="88"/>
      <c r="AW35" s="88"/>
    </row>
    <row r="36" spans="1:49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  <c r="AU36" s="87"/>
      <c r="AV36" s="88"/>
      <c r="AW36" s="88"/>
    </row>
    <row r="37" spans="1:49" ht="16.5" customHeight="1" x14ac:dyDescent="0.2">
      <c r="A37" s="9" t="s">
        <v>35</v>
      </c>
      <c r="B37" s="3">
        <v>1916.9299999999998</v>
      </c>
      <c r="C37" s="2">
        <v>1665.2239999999999</v>
      </c>
      <c r="D37" s="2">
        <v>1841.5260000000001</v>
      </c>
      <c r="E37" s="2">
        <v>1891.0509999999999</v>
      </c>
      <c r="F37" s="2">
        <v>1748.0620000000001</v>
      </c>
      <c r="G37" s="2">
        <v>1789.0219999999999</v>
      </c>
      <c r="H37" s="2">
        <v>1852.098</v>
      </c>
      <c r="I37" s="2">
        <v>1945.722</v>
      </c>
      <c r="J37" s="2">
        <v>1811.56</v>
      </c>
      <c r="K37" s="2">
        <v>1837.307</v>
      </c>
      <c r="L37" s="2">
        <v>1843.386</v>
      </c>
      <c r="M37" s="2">
        <v>1917.722</v>
      </c>
      <c r="N37" s="4">
        <f t="shared" si="0"/>
        <v>22059.61</v>
      </c>
      <c r="AU37" s="87"/>
      <c r="AV37" s="88"/>
      <c r="AW37" s="88"/>
    </row>
    <row r="38" spans="1:49" ht="16.5" customHeight="1" x14ac:dyDescent="0.2">
      <c r="A38" s="9" t="s">
        <v>36</v>
      </c>
      <c r="B38" s="3">
        <v>10.331</v>
      </c>
      <c r="C38" s="2">
        <v>9.25</v>
      </c>
      <c r="D38" s="2">
        <v>14.212</v>
      </c>
      <c r="E38" s="2">
        <v>11.42</v>
      </c>
      <c r="F38" s="2">
        <v>12.53</v>
      </c>
      <c r="G38" s="2">
        <v>9.94</v>
      </c>
      <c r="H38" s="2">
        <v>9.2560000000000002</v>
      </c>
      <c r="I38" s="2">
        <v>8.7309999999999999</v>
      </c>
      <c r="J38" s="2">
        <v>17.298999999999999</v>
      </c>
      <c r="K38" s="2">
        <v>19.861999999999998</v>
      </c>
      <c r="L38" s="2">
        <v>19.768999999999998</v>
      </c>
      <c r="M38" s="2">
        <v>8.8930000000000007</v>
      </c>
      <c r="N38" s="4">
        <f t="shared" si="0"/>
        <v>151.49299999999999</v>
      </c>
      <c r="AU38" s="87"/>
      <c r="AV38" s="88"/>
      <c r="AW38" s="88"/>
    </row>
    <row r="39" spans="1:49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  <c r="AU39" s="87"/>
      <c r="AV39" s="88"/>
      <c r="AW39" s="88"/>
    </row>
    <row r="40" spans="1:49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1E-3</v>
      </c>
      <c r="M40" s="2">
        <v>0</v>
      </c>
      <c r="N40" s="4">
        <f t="shared" si="0"/>
        <v>1E-3</v>
      </c>
      <c r="AU40" s="87"/>
      <c r="AV40" s="88"/>
      <c r="AW40" s="88"/>
    </row>
    <row r="41" spans="1:49" ht="16.5" customHeight="1" x14ac:dyDescent="0.2">
      <c r="A41" s="9" t="s">
        <v>39</v>
      </c>
      <c r="B41" s="3">
        <v>4.7E-2</v>
      </c>
      <c r="C41" s="2">
        <v>4.2000000000000003E-2</v>
      </c>
      <c r="D41" s="2">
        <v>4.5999999999999999E-2</v>
      </c>
      <c r="E41" s="2">
        <v>3.9E-2</v>
      </c>
      <c r="F41" s="2">
        <v>0.24099999999999999</v>
      </c>
      <c r="G41" s="2">
        <v>0</v>
      </c>
      <c r="H41" s="2">
        <v>0</v>
      </c>
      <c r="I41" s="2">
        <v>0</v>
      </c>
      <c r="J41" s="2">
        <v>0</v>
      </c>
      <c r="K41" s="2">
        <v>4.3140000000000001</v>
      </c>
      <c r="L41" s="2">
        <v>0</v>
      </c>
      <c r="M41" s="2">
        <v>0.33700000000000002</v>
      </c>
      <c r="N41" s="4">
        <f t="shared" si="0"/>
        <v>5.0659999999999998</v>
      </c>
      <c r="AU41" s="87"/>
      <c r="AV41" s="88"/>
      <c r="AW41" s="88"/>
    </row>
    <row r="42" spans="1:49" ht="16.5" customHeight="1" x14ac:dyDescent="0.2">
      <c r="A42" s="9" t="s">
        <v>60</v>
      </c>
      <c r="B42" s="3">
        <v>0</v>
      </c>
      <c r="C42" s="2">
        <v>0</v>
      </c>
      <c r="D42" s="2">
        <v>3.0000000000000001E-3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3.0000000000000001E-3</v>
      </c>
      <c r="AU42" s="87"/>
      <c r="AV42" s="88"/>
      <c r="AW42" s="88"/>
    </row>
    <row r="43" spans="1:49" ht="16.5" customHeight="1" x14ac:dyDescent="0.2">
      <c r="A43" s="9" t="s">
        <v>40</v>
      </c>
      <c r="B43" s="3">
        <v>274.90899999999999</v>
      </c>
      <c r="C43" s="2">
        <v>197.78399999999999</v>
      </c>
      <c r="D43" s="2">
        <v>251.95699999999999</v>
      </c>
      <c r="E43" s="2">
        <v>343.66399999999999</v>
      </c>
      <c r="F43" s="2">
        <v>292.02800000000002</v>
      </c>
      <c r="G43" s="2">
        <v>302.00799999999998</v>
      </c>
      <c r="H43" s="2">
        <v>293.62299999999999</v>
      </c>
      <c r="I43" s="2">
        <v>370.98099999999999</v>
      </c>
      <c r="J43" s="2">
        <v>396.02199999999999</v>
      </c>
      <c r="K43" s="2">
        <v>417.71300000000002</v>
      </c>
      <c r="L43" s="2">
        <v>406.85199999999998</v>
      </c>
      <c r="M43" s="2">
        <v>393.62</v>
      </c>
      <c r="N43" s="4">
        <f t="shared" si="0"/>
        <v>3941.1609999999996</v>
      </c>
      <c r="AU43" s="87"/>
      <c r="AV43" s="88"/>
      <c r="AW43" s="88"/>
    </row>
    <row r="44" spans="1:49" ht="16.5" customHeight="1" x14ac:dyDescent="0.2">
      <c r="A44" s="9" t="s">
        <v>41</v>
      </c>
      <c r="B44" s="3">
        <v>29.736000000000001</v>
      </c>
      <c r="C44" s="2">
        <v>26.082999999999998</v>
      </c>
      <c r="D44" s="2">
        <v>28.196999999999999</v>
      </c>
      <c r="E44" s="2">
        <v>22.324999999999999</v>
      </c>
      <c r="F44" s="2">
        <v>26.733000000000001</v>
      </c>
      <c r="G44" s="2">
        <v>22.428999999999998</v>
      </c>
      <c r="H44" s="2">
        <v>23.838999999999999</v>
      </c>
      <c r="I44" s="2">
        <v>22.608000000000001</v>
      </c>
      <c r="J44" s="2">
        <v>26.603999999999999</v>
      </c>
      <c r="K44" s="2">
        <v>26.533999999999999</v>
      </c>
      <c r="L44" s="2">
        <v>26.817</v>
      </c>
      <c r="M44" s="2">
        <v>28.454999999999998</v>
      </c>
      <c r="N44" s="4">
        <f t="shared" si="0"/>
        <v>310.36</v>
      </c>
      <c r="AU44" s="87"/>
      <c r="AV44" s="88"/>
      <c r="AW44" s="88"/>
    </row>
    <row r="45" spans="1:49" ht="16.5" customHeight="1" x14ac:dyDescent="0.2">
      <c r="A45" s="9" t="s">
        <v>42</v>
      </c>
      <c r="B45" s="3">
        <v>95.146000000000001</v>
      </c>
      <c r="C45" s="2">
        <v>157.779</v>
      </c>
      <c r="D45" s="2">
        <v>137.84899999999999</v>
      </c>
      <c r="E45" s="2">
        <v>190.78</v>
      </c>
      <c r="F45" s="2">
        <v>159.702</v>
      </c>
      <c r="G45" s="2">
        <v>171.9</v>
      </c>
      <c r="H45" s="2">
        <v>171.55199999999999</v>
      </c>
      <c r="I45" s="2">
        <v>144.52199999999999</v>
      </c>
      <c r="J45" s="2">
        <v>174.46100000000001</v>
      </c>
      <c r="K45" s="2">
        <v>134.88399999999999</v>
      </c>
      <c r="L45" s="2">
        <v>134.346</v>
      </c>
      <c r="M45" s="2">
        <v>149.584</v>
      </c>
      <c r="N45" s="4">
        <f t="shared" si="0"/>
        <v>1822.5049999999999</v>
      </c>
      <c r="AU45" s="87"/>
      <c r="AV45" s="88"/>
      <c r="AW45" s="88"/>
    </row>
    <row r="46" spans="1:49" ht="16.5" customHeight="1" x14ac:dyDescent="0.2">
      <c r="A46" s="9" t="s">
        <v>43</v>
      </c>
      <c r="B46" s="3">
        <v>7.0659999999999998</v>
      </c>
      <c r="C46" s="2">
        <v>10.742000000000001</v>
      </c>
      <c r="D46" s="2">
        <v>12.987</v>
      </c>
      <c r="E46" s="2">
        <v>12.172000000000001</v>
      </c>
      <c r="F46" s="2">
        <v>10.56</v>
      </c>
      <c r="G46" s="2">
        <v>8.4510000000000005</v>
      </c>
      <c r="H46" s="2">
        <v>12.999000000000001</v>
      </c>
      <c r="I46" s="2">
        <v>7.8109999999999999</v>
      </c>
      <c r="J46" s="2">
        <v>10.371</v>
      </c>
      <c r="K46" s="2">
        <v>9.3849999999999998</v>
      </c>
      <c r="L46" s="2">
        <v>9.3659999999999997</v>
      </c>
      <c r="M46" s="2">
        <v>10.369</v>
      </c>
      <c r="N46" s="4">
        <f t="shared" si="0"/>
        <v>122.27900000000001</v>
      </c>
      <c r="AU46" s="87"/>
      <c r="AV46" s="88"/>
      <c r="AW46" s="88"/>
    </row>
    <row r="47" spans="1:49" ht="16.5" customHeight="1" x14ac:dyDescent="0.2">
      <c r="A47" s="9" t="s">
        <v>44</v>
      </c>
      <c r="B47" s="3">
        <v>5.9109999999999996</v>
      </c>
      <c r="C47" s="2">
        <v>5.7359999999999998</v>
      </c>
      <c r="D47" s="2">
        <v>5.5119999999999996</v>
      </c>
      <c r="E47" s="2">
        <v>6.5540000000000003</v>
      </c>
      <c r="F47" s="2">
        <v>6.5720000000000001</v>
      </c>
      <c r="G47" s="2">
        <v>5.3689999999999998</v>
      </c>
      <c r="H47" s="2">
        <v>5.0540000000000003</v>
      </c>
      <c r="I47" s="2">
        <v>5.0709999999999997</v>
      </c>
      <c r="J47" s="2">
        <v>5.2110000000000003</v>
      </c>
      <c r="K47" s="2">
        <v>6.125</v>
      </c>
      <c r="L47" s="2">
        <v>6.1749999999999998</v>
      </c>
      <c r="M47" s="2">
        <v>5.2770000000000001</v>
      </c>
      <c r="N47" s="4">
        <f t="shared" si="0"/>
        <v>68.566999999999993</v>
      </c>
      <c r="AU47" s="87"/>
      <c r="AV47" s="88"/>
      <c r="AW47" s="88"/>
    </row>
    <row r="48" spans="1:49" ht="16.5" customHeight="1" x14ac:dyDescent="0.2">
      <c r="A48" s="9" t="s">
        <v>45</v>
      </c>
      <c r="B48" s="3">
        <v>303.00900000000001</v>
      </c>
      <c r="C48" s="2">
        <v>264.565</v>
      </c>
      <c r="D48" s="2">
        <v>306.91699999999997</v>
      </c>
      <c r="E48" s="2">
        <v>293.21600000000001</v>
      </c>
      <c r="F48" s="2">
        <v>282.34800000000001</v>
      </c>
      <c r="G48" s="2">
        <v>248.87799999999999</v>
      </c>
      <c r="H48" s="2">
        <v>296.68700000000001</v>
      </c>
      <c r="I48" s="2">
        <v>300.25900000000001</v>
      </c>
      <c r="J48" s="2">
        <v>296.303</v>
      </c>
      <c r="K48" s="2">
        <v>307.28100000000001</v>
      </c>
      <c r="L48" s="2">
        <v>240.53800000000001</v>
      </c>
      <c r="M48" s="2">
        <v>297.44400000000002</v>
      </c>
      <c r="N48" s="4">
        <f t="shared" si="0"/>
        <v>3437.4449999999997</v>
      </c>
      <c r="AU48" s="87"/>
      <c r="AV48" s="88"/>
      <c r="AW48" s="88"/>
    </row>
    <row r="49" spans="1:49" ht="18" customHeight="1" x14ac:dyDescent="0.2">
      <c r="A49" s="10" t="s">
        <v>52</v>
      </c>
      <c r="B49" s="7">
        <v>98.734000000002197</v>
      </c>
      <c r="C49" s="5">
        <v>160.85099999999875</v>
      </c>
      <c r="D49" s="5">
        <v>152.20700000000002</v>
      </c>
      <c r="E49" s="5">
        <v>68.241000000000895</v>
      </c>
      <c r="F49" s="5">
        <v>94.30699999999888</v>
      </c>
      <c r="G49" s="5">
        <v>41.46100000000115</v>
      </c>
      <c r="H49" s="5">
        <v>185.905</v>
      </c>
      <c r="I49" s="5">
        <v>210.77000000000004</v>
      </c>
      <c r="J49" s="5">
        <v>126.13699999999997</v>
      </c>
      <c r="K49" s="5">
        <v>195.59100000000004</v>
      </c>
      <c r="L49" s="5">
        <v>124.83499999999998</v>
      </c>
      <c r="M49" s="5">
        <v>176.97300000000087</v>
      </c>
      <c r="N49" s="6">
        <f t="shared" si="0"/>
        <v>1636.0120000000029</v>
      </c>
      <c r="AU49" s="87"/>
      <c r="AV49" s="88"/>
      <c r="AW49" s="88"/>
    </row>
    <row r="50" spans="1:49" x14ac:dyDescent="0.2">
      <c r="F50" s="41"/>
      <c r="AU50" s="87"/>
      <c r="AW50" s="88"/>
    </row>
    <row r="51" spans="1:49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49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49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49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49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49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49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49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49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49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49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49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49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49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94488188976377951" bottom="0.55118110236220474" header="0.31496062992125984" footer="0.31496062992125984"/>
  <pageSetup paperSize="9" scale="6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45C67-58B8-4005-8104-43BA27B6D527}">
  <sheetPr>
    <pageSetUpPr fitToPage="1"/>
  </sheetPr>
  <dimension ref="A1:BI250"/>
  <sheetViews>
    <sheetView showGridLines="0" topLeftCell="AE11" zoomScale="70" zoomScaleNormal="70" workbookViewId="0">
      <selection activeCell="N49" sqref="N5:N49"/>
    </sheetView>
  </sheetViews>
  <sheetFormatPr baseColWidth="10" defaultColWidth="11.5" defaultRowHeight="14.25" x14ac:dyDescent="0.2"/>
  <cols>
    <col min="1" max="1" width="66.5" customWidth="1"/>
    <col min="7" max="8" width="11.5" customWidth="1"/>
    <col min="9" max="11" width="11.5" style="1" customWidth="1"/>
    <col min="12" max="13" width="11.5" customWidth="1"/>
    <col min="14" max="14" width="21.375" bestFit="1" customWidth="1"/>
    <col min="15" max="15" width="3.75" customWidth="1"/>
    <col min="27" max="27" width="13.125" customWidth="1"/>
    <col min="43" max="43" width="9.75" customWidth="1"/>
    <col min="45" max="45" width="11.5" style="1"/>
    <col min="46" max="46" width="11.5" style="71" customWidth="1"/>
    <col min="47" max="47" width="36.75" style="71" customWidth="1"/>
    <col min="48" max="48" width="12.625" style="71" customWidth="1"/>
    <col min="49" max="49" width="11.5" style="71" customWidth="1"/>
    <col min="50" max="50" width="11.5" style="1"/>
    <col min="51" max="51" width="11.5" style="71"/>
    <col min="52" max="61" width="11.5" style="1"/>
  </cols>
  <sheetData>
    <row r="1" spans="1:61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Q1" s="53" t="str">
        <f>"MOVIMIENTO DE CRUDOS Y OBTENCIÓN DE PRODUCTOS PETROLÍFEROS - " &amp;AV3</f>
        <v>MOVIMIENTO DE CRUDOS Y OBTENCIÓN DE PRODUCTOS PETROLÍFEROS - DICIEMBRE 2024</v>
      </c>
      <c r="AE1" s="53" t="s">
        <v>62</v>
      </c>
    </row>
    <row r="2" spans="1:61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3" spans="1:61" x14ac:dyDescent="0.2">
      <c r="AV3" s="72" t="str">
        <f>UPPER(TEXT(MAXA(B4:M4),"mmmm aaaa"))</f>
        <v>DICIEMBRE 2024</v>
      </c>
    </row>
    <row r="4" spans="1:61" s="16" customFormat="1" ht="21" customHeight="1" x14ac:dyDescent="0.2">
      <c r="A4" s="11" t="s">
        <v>13</v>
      </c>
      <c r="B4" s="12">
        <v>45292</v>
      </c>
      <c r="C4" s="13">
        <v>45323</v>
      </c>
      <c r="D4" s="13">
        <v>45352</v>
      </c>
      <c r="E4" s="14">
        <v>45383</v>
      </c>
      <c r="F4" s="14">
        <v>45413</v>
      </c>
      <c r="G4" s="14">
        <v>45444</v>
      </c>
      <c r="H4" s="14">
        <v>45474</v>
      </c>
      <c r="I4" s="14">
        <v>45505</v>
      </c>
      <c r="J4" s="14">
        <v>45536</v>
      </c>
      <c r="K4" s="14">
        <v>45566</v>
      </c>
      <c r="L4" s="14">
        <v>45597</v>
      </c>
      <c r="M4" s="14">
        <v>45627</v>
      </c>
      <c r="N4" s="15" t="s">
        <v>61</v>
      </c>
      <c r="Q4" s="54"/>
      <c r="R4" s="54"/>
      <c r="S4" s="54"/>
      <c r="T4" s="54"/>
      <c r="U4" s="54"/>
      <c r="V4" s="54"/>
      <c r="W4" s="54"/>
      <c r="X4" s="54"/>
      <c r="Y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S4" s="82"/>
      <c r="AT4" s="73"/>
      <c r="AU4" s="73"/>
      <c r="AV4" s="73"/>
      <c r="AW4" s="73"/>
      <c r="AX4" s="82"/>
      <c r="AY4" s="73"/>
      <c r="AZ4" s="82"/>
      <c r="BA4" s="82"/>
      <c r="BB4" s="82"/>
      <c r="BC4" s="82"/>
      <c r="BD4" s="82"/>
      <c r="BE4" s="82"/>
      <c r="BF4" s="82"/>
      <c r="BG4" s="82"/>
      <c r="BH4" s="82"/>
      <c r="BI4" s="82"/>
    </row>
    <row r="5" spans="1:61" s="21" customFormat="1" ht="21" customHeight="1" x14ac:dyDescent="0.2">
      <c r="A5" s="17" t="s">
        <v>0</v>
      </c>
      <c r="B5" s="18">
        <v>0</v>
      </c>
      <c r="C5" s="19">
        <v>7.5999999999999998E-2</v>
      </c>
      <c r="D5" s="19">
        <v>3.5999999999999997E-2</v>
      </c>
      <c r="E5" s="19">
        <v>5.1999999999999998E-2</v>
      </c>
      <c r="F5" s="19">
        <v>6.9000000000000006E-2</v>
      </c>
      <c r="G5" s="19">
        <v>0</v>
      </c>
      <c r="H5" s="19">
        <v>0</v>
      </c>
      <c r="I5" s="45">
        <v>0</v>
      </c>
      <c r="J5" s="19">
        <v>0</v>
      </c>
      <c r="K5" s="19">
        <v>0.121</v>
      </c>
      <c r="L5" s="19">
        <v>2.1999999999999999E-2</v>
      </c>
      <c r="M5" s="19">
        <v>0.223</v>
      </c>
      <c r="N5" s="20">
        <f>SUM(B5:M5)</f>
        <v>0.59899999999999998</v>
      </c>
      <c r="P5" s="34"/>
      <c r="Q5" s="34"/>
      <c r="R5" s="47"/>
      <c r="AS5" s="32"/>
      <c r="AT5" s="74"/>
      <c r="AU5" s="74"/>
      <c r="AV5" s="74"/>
      <c r="AW5" s="74"/>
      <c r="AX5" s="32"/>
      <c r="AY5" s="74"/>
      <c r="AZ5" s="32"/>
      <c r="BA5" s="32"/>
      <c r="BB5" s="32"/>
      <c r="BC5" s="32"/>
      <c r="BD5" s="32"/>
      <c r="BE5" s="32"/>
      <c r="BF5" s="32"/>
      <c r="BG5" s="32"/>
      <c r="BH5" s="32"/>
      <c r="BI5" s="32"/>
    </row>
    <row r="6" spans="1:61" s="21" customFormat="1" ht="21" customHeight="1" x14ac:dyDescent="0.2">
      <c r="A6" s="22" t="s">
        <v>1</v>
      </c>
      <c r="B6" s="23">
        <v>6240.1289999999999</v>
      </c>
      <c r="C6" s="24">
        <v>5087.451</v>
      </c>
      <c r="D6" s="24">
        <v>4917.4210000000003</v>
      </c>
      <c r="E6" s="24">
        <v>6291.4139999999998</v>
      </c>
      <c r="F6" s="24">
        <v>5922.1580000000004</v>
      </c>
      <c r="G6" s="24">
        <v>5076.2169999999996</v>
      </c>
      <c r="H6" s="24">
        <v>4951.8909999999996</v>
      </c>
      <c r="I6" s="24">
        <v>5766.5609999999997</v>
      </c>
      <c r="J6" s="24">
        <v>4670.3940000000002</v>
      </c>
      <c r="K6" s="24">
        <v>4962.3389999999999</v>
      </c>
      <c r="L6" s="24">
        <v>5467.8580000000002</v>
      </c>
      <c r="M6" s="24">
        <v>5234.32</v>
      </c>
      <c r="N6" s="25">
        <f>SUM(B6:M6)</f>
        <v>64588.152999999998</v>
      </c>
      <c r="P6" s="34"/>
      <c r="Q6" s="34"/>
      <c r="R6" s="47"/>
      <c r="AS6" s="32"/>
      <c r="AT6" s="74"/>
      <c r="AU6" s="75" t="str">
        <f>A6</f>
        <v>IMPORTACIONES DE CRUDO</v>
      </c>
      <c r="AV6" s="76">
        <f>HLOOKUP(MAXA(B4:M4),$B$4:$M$6,3,FALSE)</f>
        <v>5234.32</v>
      </c>
      <c r="AW6" s="74"/>
      <c r="AX6" s="32"/>
      <c r="AY6" s="74"/>
      <c r="AZ6" s="32"/>
      <c r="BA6" s="32"/>
      <c r="BB6" s="32"/>
      <c r="BC6" s="32"/>
      <c r="BD6" s="32"/>
      <c r="BE6" s="32"/>
      <c r="BF6" s="32"/>
      <c r="BG6" s="32"/>
      <c r="BH6" s="32"/>
      <c r="BI6" s="32"/>
    </row>
    <row r="7" spans="1:61" s="21" customFormat="1" ht="21" customHeight="1" x14ac:dyDescent="0.2">
      <c r="A7" s="26" t="s">
        <v>2</v>
      </c>
      <c r="B7" s="27">
        <v>120.79399999999987</v>
      </c>
      <c r="C7" s="28">
        <v>16.909999999999854</v>
      </c>
      <c r="D7" s="28">
        <v>-95.347999999999956</v>
      </c>
      <c r="E7" s="28">
        <v>73.523000000000138</v>
      </c>
      <c r="F7" s="28">
        <v>25.162999999999556</v>
      </c>
      <c r="G7" s="28">
        <v>-117.7579999999989</v>
      </c>
      <c r="H7" s="28">
        <v>81.727000000000771</v>
      </c>
      <c r="I7" s="28">
        <v>93.73700000000008</v>
      </c>
      <c r="J7" s="28">
        <v>-144.60600000000068</v>
      </c>
      <c r="K7" s="28">
        <v>67.46100000000024</v>
      </c>
      <c r="L7" s="28">
        <v>-2.4160000000001673</v>
      </c>
      <c r="M7" s="28">
        <v>-7.6350000000002183</v>
      </c>
      <c r="N7" s="29">
        <f t="shared" ref="N7:N49" si="0">SUM(B7:M7)</f>
        <v>111.55200000000059</v>
      </c>
      <c r="P7" s="34"/>
      <c r="Q7" s="34"/>
      <c r="R7" s="47"/>
      <c r="AS7" s="32"/>
      <c r="AT7" s="74"/>
      <c r="AU7" s="75" t="str">
        <f>A12</f>
        <v>TOTAL PROCESADO</v>
      </c>
      <c r="AV7" s="76">
        <f>HLOOKUP(MAXA(B4:M4),$B$4:$M$12,9,FALSE)</f>
        <v>5482.2209999999995</v>
      </c>
      <c r="AW7" s="74"/>
      <c r="AX7" s="32"/>
      <c r="AY7" s="74"/>
      <c r="AZ7" s="32"/>
      <c r="BA7" s="32"/>
      <c r="BB7" s="32"/>
      <c r="BC7" s="32"/>
      <c r="BD7" s="32"/>
      <c r="BE7" s="32"/>
      <c r="BF7" s="32"/>
      <c r="BG7" s="32"/>
      <c r="BH7" s="32"/>
      <c r="BI7" s="32"/>
    </row>
    <row r="8" spans="1:61" s="21" customFormat="1" ht="21" customHeight="1" x14ac:dyDescent="0.2">
      <c r="A8" s="26" t="s">
        <v>3</v>
      </c>
      <c r="B8" s="27">
        <v>518.52800000000002</v>
      </c>
      <c r="C8" s="28">
        <v>-393.85</v>
      </c>
      <c r="D8" s="28">
        <v>-400.02199999999999</v>
      </c>
      <c r="E8" s="28">
        <v>913.12300000000005</v>
      </c>
      <c r="F8" s="28">
        <v>38.106999999999999</v>
      </c>
      <c r="G8" s="28">
        <v>37.000999999999998</v>
      </c>
      <c r="H8" s="28">
        <v>-476.55399999999997</v>
      </c>
      <c r="I8" s="28">
        <v>276.88</v>
      </c>
      <c r="J8" s="28">
        <v>-344.17</v>
      </c>
      <c r="K8" s="28">
        <v>-299.13099999999997</v>
      </c>
      <c r="L8" s="28">
        <v>389.70400000000001</v>
      </c>
      <c r="M8" s="28">
        <v>-7.3010000000000002</v>
      </c>
      <c r="N8" s="29">
        <f t="shared" si="0"/>
        <v>252.315</v>
      </c>
      <c r="P8" s="34"/>
      <c r="Q8" s="34"/>
      <c r="R8" s="47"/>
      <c r="AS8" s="32"/>
      <c r="AT8" s="74"/>
      <c r="AU8" s="75" t="str">
        <f>A15</f>
        <v>PRODUCCION BRUTA DE REFINERIA</v>
      </c>
      <c r="AV8" s="76">
        <f>HLOOKUP(MAXA(B4:M4),$B$4:$M$15,12,FALSE)</f>
        <v>5415.1689999999999</v>
      </c>
      <c r="AW8" s="74"/>
      <c r="AX8" s="32"/>
      <c r="AY8" s="74"/>
      <c r="AZ8" s="32"/>
      <c r="BA8" s="32"/>
      <c r="BB8" s="32"/>
      <c r="BC8" s="32"/>
      <c r="BD8" s="32"/>
      <c r="BE8" s="32"/>
      <c r="BF8" s="32"/>
      <c r="BG8" s="32"/>
      <c r="BH8" s="32"/>
      <c r="BI8" s="32"/>
    </row>
    <row r="9" spans="1:61" s="21" customFormat="1" ht="21" customHeight="1" x14ac:dyDescent="0.2">
      <c r="A9" s="26" t="s">
        <v>4</v>
      </c>
      <c r="B9" s="27">
        <v>149.529</v>
      </c>
      <c r="C9" s="28">
        <v>33.624000000000024</v>
      </c>
      <c r="D9" s="28">
        <v>-72.739000000000033</v>
      </c>
      <c r="E9" s="28">
        <v>124.71199999999999</v>
      </c>
      <c r="F9" s="28">
        <v>8.1450000000000031</v>
      </c>
      <c r="G9" s="28">
        <v>-61.539000000000001</v>
      </c>
      <c r="H9" s="28">
        <v>-38.465000000000032</v>
      </c>
      <c r="I9" s="28">
        <v>31.04000000000002</v>
      </c>
      <c r="J9" s="28">
        <v>-168.59300000000002</v>
      </c>
      <c r="K9" s="28">
        <v>121.61899999999997</v>
      </c>
      <c r="L9" s="28">
        <v>40.543000000000006</v>
      </c>
      <c r="M9" s="28">
        <v>-196.66900000000001</v>
      </c>
      <c r="N9" s="29">
        <f t="shared" si="0"/>
        <v>-28.793000000000092</v>
      </c>
      <c r="P9" s="34"/>
      <c r="Q9" s="34"/>
      <c r="R9" s="47"/>
      <c r="AS9" s="32"/>
      <c r="AT9" s="74"/>
      <c r="AU9" s="74"/>
      <c r="AV9" s="76"/>
      <c r="AW9" s="74"/>
      <c r="AX9" s="32"/>
      <c r="AY9" s="74"/>
      <c r="AZ9" s="32"/>
      <c r="BA9" s="32"/>
      <c r="BB9" s="32"/>
      <c r="BC9" s="32"/>
      <c r="BD9" s="32"/>
      <c r="BE9" s="32"/>
      <c r="BF9" s="32"/>
      <c r="BG9" s="32"/>
      <c r="BH9" s="32"/>
      <c r="BI9" s="32"/>
    </row>
    <row r="10" spans="1:61" s="21" customFormat="1" ht="21" customHeight="1" x14ac:dyDescent="0.2">
      <c r="A10" s="26" t="s">
        <v>5</v>
      </c>
      <c r="B10" s="27">
        <v>43.488</v>
      </c>
      <c r="C10" s="28">
        <v>22.417999999999999</v>
      </c>
      <c r="D10" s="28">
        <v>30.14</v>
      </c>
      <c r="E10" s="28">
        <v>55.326999999999998</v>
      </c>
      <c r="F10" s="28">
        <v>27.544999999999998</v>
      </c>
      <c r="G10" s="28">
        <v>88.7</v>
      </c>
      <c r="H10" s="28">
        <v>48.823999999999998</v>
      </c>
      <c r="I10" s="28">
        <v>19.875</v>
      </c>
      <c r="J10" s="28">
        <v>41.548999999999999</v>
      </c>
      <c r="K10" s="28">
        <v>57.52</v>
      </c>
      <c r="L10" s="28">
        <v>50.742999999999995</v>
      </c>
      <c r="M10" s="28">
        <v>51.342999999999996</v>
      </c>
      <c r="N10" s="29">
        <f t="shared" si="0"/>
        <v>537.47199999999998</v>
      </c>
      <c r="P10" s="34"/>
      <c r="Q10" s="34"/>
      <c r="R10" s="47"/>
      <c r="AS10" s="32"/>
      <c r="AT10" s="74"/>
      <c r="AU10" s="74"/>
      <c r="AV10" s="76"/>
      <c r="AW10" s="74"/>
      <c r="AX10" s="32"/>
      <c r="AY10" s="74"/>
      <c r="AZ10" s="32"/>
      <c r="BA10" s="32"/>
      <c r="BB10" s="32"/>
      <c r="BC10" s="32"/>
      <c r="BD10" s="32"/>
      <c r="BE10" s="32"/>
      <c r="BF10" s="32"/>
      <c r="BG10" s="32"/>
      <c r="BH10" s="32"/>
      <c r="BI10" s="32"/>
    </row>
    <row r="11" spans="1:61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55"/>
      <c r="R11" s="47"/>
      <c r="AS11" s="32"/>
      <c r="AT11" s="74"/>
      <c r="AU11" s="75" t="str">
        <f>A7</f>
        <v>IMPORTACIONES DE PROD. INTERMEDIOS Y MAT. AUXILIARES</v>
      </c>
      <c r="AV11" s="76">
        <f>HLOOKUP(MAXA(B4:M4),$B$4:$M$15,4,FALSE)</f>
        <v>-7.6350000000002183</v>
      </c>
      <c r="AW11" s="74"/>
      <c r="AX11" s="32"/>
      <c r="AY11" s="74"/>
      <c r="AZ11" s="32"/>
      <c r="BA11" s="32"/>
      <c r="BB11" s="32"/>
      <c r="BC11" s="32"/>
      <c r="BD11" s="32"/>
      <c r="BE11" s="32"/>
      <c r="BF11" s="32"/>
      <c r="BG11" s="32"/>
      <c r="BH11" s="32"/>
      <c r="BI11" s="32"/>
    </row>
    <row r="12" spans="1:61" s="31" customFormat="1" ht="21" customHeight="1" x14ac:dyDescent="0.2">
      <c r="A12" s="22" t="s">
        <v>7</v>
      </c>
      <c r="B12" s="24">
        <v>5736.3540000000003</v>
      </c>
      <c r="C12" s="24">
        <v>5487.0810000000001</v>
      </c>
      <c r="D12" s="24">
        <v>5325.0100000000011</v>
      </c>
      <c r="E12" s="24">
        <v>5382.4810000000007</v>
      </c>
      <c r="F12" s="24">
        <v>5928.683</v>
      </c>
      <c r="G12" s="24">
        <v>5071.6970000000001</v>
      </c>
      <c r="H12" s="24">
        <v>5597.4610000000002</v>
      </c>
      <c r="I12" s="24">
        <v>5572.2529999999997</v>
      </c>
      <c r="J12" s="24">
        <v>5080.0999999999995</v>
      </c>
      <c r="K12" s="24">
        <v>5264.9530000000013</v>
      </c>
      <c r="L12" s="24">
        <v>5085.9600000000009</v>
      </c>
      <c r="M12" s="24">
        <v>5482.2209999999995</v>
      </c>
      <c r="N12" s="25">
        <f>SUM(B12:M12)</f>
        <v>65014.254000000001</v>
      </c>
      <c r="P12" s="34"/>
      <c r="Q12" s="34"/>
      <c r="R12" s="47"/>
      <c r="S12" s="56"/>
      <c r="T12" s="56"/>
      <c r="U12" s="56"/>
      <c r="V12" s="56"/>
      <c r="W12" s="56"/>
      <c r="X12" s="56"/>
      <c r="Y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S12" s="85"/>
      <c r="AT12" s="77"/>
      <c r="AU12" s="75" t="str">
        <f>A8</f>
        <v>VARIACION DE STOCKS DE CRUDOS (Ef-Ei)</v>
      </c>
      <c r="AV12" s="78">
        <f>HLOOKUP(MAXA(B4:M4),$B$4:$M$15,5,FALSE)</f>
        <v>-7.3010000000000002</v>
      </c>
      <c r="AW12" s="77"/>
      <c r="AX12" s="85"/>
      <c r="AY12" s="77"/>
      <c r="AZ12" s="85"/>
      <c r="BA12" s="85"/>
      <c r="BB12" s="85"/>
      <c r="BC12" s="85"/>
      <c r="BD12" s="85"/>
      <c r="BE12" s="85"/>
      <c r="BF12" s="85"/>
      <c r="BG12" s="85"/>
      <c r="BH12" s="85"/>
      <c r="BI12" s="85"/>
    </row>
    <row r="13" spans="1:61" s="21" customFormat="1" ht="21" customHeight="1" x14ac:dyDescent="0.2">
      <c r="A13" s="26" t="s">
        <v>12</v>
      </c>
      <c r="B13" s="27">
        <v>5721.6009999999997</v>
      </c>
      <c r="C13" s="28">
        <v>5481.3770000000004</v>
      </c>
      <c r="D13" s="28">
        <v>5317.4790000000003</v>
      </c>
      <c r="E13" s="28">
        <v>5378.3429999999998</v>
      </c>
      <c r="F13" s="28">
        <v>5884.12</v>
      </c>
      <c r="G13" s="28">
        <v>5039.2160000000003</v>
      </c>
      <c r="H13" s="28">
        <v>5428.4449999999997</v>
      </c>
      <c r="I13" s="28">
        <v>5489.6809999999996</v>
      </c>
      <c r="J13" s="28">
        <v>5014.5640000000003</v>
      </c>
      <c r="K13" s="28">
        <v>5261.5910000000003</v>
      </c>
      <c r="L13" s="28">
        <v>5078.1760000000004</v>
      </c>
      <c r="M13" s="28">
        <v>5241.8440000000001</v>
      </c>
      <c r="N13" s="29">
        <f t="shared" si="0"/>
        <v>64336.436999999991</v>
      </c>
      <c r="P13" s="34"/>
      <c r="Q13" s="34"/>
      <c r="R13" s="47"/>
      <c r="AS13" s="32"/>
      <c r="AT13" s="74"/>
      <c r="AU13" s="75" t="str">
        <f>A9</f>
        <v>APROVISIONAMIENTO DE PROD. INTERMEDIOS Y MAT. AUXILIARES</v>
      </c>
      <c r="AV13" s="76">
        <f>HLOOKUP(MAXA(B4:M4),$B$4:$M$15,6,FALSE)</f>
        <v>-196.66900000000001</v>
      </c>
      <c r="AW13" s="74"/>
      <c r="AX13" s="32"/>
      <c r="AY13" s="74"/>
      <c r="AZ13" s="32"/>
      <c r="BA13" s="32"/>
      <c r="BB13" s="32"/>
      <c r="BC13" s="32"/>
      <c r="BD13" s="32"/>
      <c r="BE13" s="32"/>
      <c r="BF13" s="32"/>
      <c r="BG13" s="32"/>
      <c r="BH13" s="32"/>
      <c r="BI13" s="32"/>
    </row>
    <row r="14" spans="1:61" s="21" customFormat="1" ht="21" customHeight="1" x14ac:dyDescent="0.2">
      <c r="A14" s="26" t="s">
        <v>8</v>
      </c>
      <c r="B14" s="27">
        <v>78.90099999999984</v>
      </c>
      <c r="C14" s="28">
        <v>274.94699999999921</v>
      </c>
      <c r="D14" s="28">
        <v>95.601000000001477</v>
      </c>
      <c r="E14" s="28">
        <v>136.45800000000054</v>
      </c>
      <c r="F14" s="28">
        <v>338.89800000000014</v>
      </c>
      <c r="G14" s="28">
        <v>70.106000000000677</v>
      </c>
      <c r="H14" s="28">
        <v>58.321000000000822</v>
      </c>
      <c r="I14" s="46">
        <v>75.86200000000008</v>
      </c>
      <c r="J14" s="28">
        <v>4.4819999999990614</v>
      </c>
      <c r="K14" s="28">
        <v>81.345000000000255</v>
      </c>
      <c r="L14" s="28">
        <v>205.23399999999947</v>
      </c>
      <c r="M14" s="28">
        <v>67.05199999999968</v>
      </c>
      <c r="N14" s="29">
        <f t="shared" si="0"/>
        <v>1487.2070000000012</v>
      </c>
      <c r="P14" s="36"/>
      <c r="Q14" s="34"/>
      <c r="R14" s="47"/>
      <c r="S14" s="42"/>
      <c r="T14" s="42"/>
      <c r="U14" s="42"/>
      <c r="V14" s="42"/>
      <c r="W14" s="42"/>
      <c r="X14" s="42"/>
      <c r="Y14" s="42"/>
      <c r="AA14" s="42"/>
      <c r="AB14" s="42"/>
      <c r="AC14" s="42"/>
      <c r="AD14" s="42"/>
      <c r="AS14" s="32"/>
      <c r="AT14" s="74"/>
      <c r="AU14" s="75" t="str">
        <f>A10</f>
        <v>PRODUCTOS TRASPASADOS Y BACKFLOWS</v>
      </c>
      <c r="AV14" s="76">
        <f>HLOOKUP(MAXA(B4:M4),$B$4:$M$15,7,FALSE)</f>
        <v>51.342999999999996</v>
      </c>
      <c r="AW14" s="74"/>
      <c r="AX14" s="32"/>
      <c r="AY14" s="74"/>
      <c r="AZ14" s="32"/>
      <c r="BA14" s="32"/>
      <c r="BB14" s="32"/>
      <c r="BC14" s="32"/>
      <c r="BD14" s="32"/>
      <c r="BE14" s="32"/>
      <c r="BF14" s="32"/>
      <c r="BG14" s="32"/>
      <c r="BH14" s="32"/>
      <c r="BI14" s="32"/>
    </row>
    <row r="15" spans="1:61" s="32" customFormat="1" ht="21" customHeight="1" x14ac:dyDescent="0.2">
      <c r="A15" s="22" t="s">
        <v>9</v>
      </c>
      <c r="B15" s="24">
        <v>5657.4530000000004</v>
      </c>
      <c r="C15" s="24">
        <v>5212.134</v>
      </c>
      <c r="D15" s="24">
        <v>5229.4089999999997</v>
      </c>
      <c r="E15" s="24">
        <v>5246.0229999999992</v>
      </c>
      <c r="F15" s="24">
        <v>5589.7849999999999</v>
      </c>
      <c r="G15" s="24">
        <v>5001.5909999999994</v>
      </c>
      <c r="H15" s="24">
        <v>5539.1399999999994</v>
      </c>
      <c r="I15" s="24">
        <v>5496.3909999999996</v>
      </c>
      <c r="J15" s="24">
        <v>5075.6180000000004</v>
      </c>
      <c r="K15" s="24">
        <v>5183.6080000000002</v>
      </c>
      <c r="L15" s="24">
        <v>4880.7260000000006</v>
      </c>
      <c r="M15" s="24">
        <v>5415.1689999999999</v>
      </c>
      <c r="N15" s="25">
        <f t="shared" si="0"/>
        <v>63527.047000000013</v>
      </c>
      <c r="Q15" s="21"/>
      <c r="R15" s="42"/>
      <c r="S15" s="42"/>
      <c r="T15" s="42"/>
      <c r="U15" s="42"/>
      <c r="V15" s="42"/>
      <c r="W15" s="42"/>
      <c r="X15" s="42"/>
      <c r="Y15" s="42"/>
      <c r="AA15" s="42"/>
      <c r="AB15" s="42"/>
      <c r="AC15" s="42"/>
      <c r="AD15" s="42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T15" s="74"/>
      <c r="AU15" s="75" t="str">
        <f>A11</f>
        <v>CONSUMO DIRECTO DE CRUDO</v>
      </c>
      <c r="AV15" s="76">
        <f>HLOOKUP(MAXA(B4:M4),$B$4:$M$15,8,FALSE)</f>
        <v>0</v>
      </c>
      <c r="AW15" s="74"/>
      <c r="AY15" s="74"/>
    </row>
    <row r="16" spans="1:61" ht="16.5" customHeight="1" x14ac:dyDescent="0.2">
      <c r="A16" s="9" t="s">
        <v>14</v>
      </c>
      <c r="B16" s="3">
        <v>171.17400000000001</v>
      </c>
      <c r="C16" s="2">
        <v>141.738</v>
      </c>
      <c r="D16" s="2">
        <v>171.87</v>
      </c>
      <c r="E16" s="2">
        <v>170.124</v>
      </c>
      <c r="F16" s="2">
        <v>180.49600000000001</v>
      </c>
      <c r="G16" s="2">
        <v>173.89400000000001</v>
      </c>
      <c r="H16" s="2">
        <v>187.74799999999999</v>
      </c>
      <c r="I16" s="2">
        <v>182.61799999999999</v>
      </c>
      <c r="J16" s="2">
        <v>171.11600000000001</v>
      </c>
      <c r="K16" s="2">
        <v>168.66300000000001</v>
      </c>
      <c r="L16" s="2">
        <v>153.82400000000001</v>
      </c>
      <c r="M16" s="2">
        <v>177.91800000000001</v>
      </c>
      <c r="N16" s="4">
        <f t="shared" si="0"/>
        <v>2051.183</v>
      </c>
    </row>
    <row r="17" spans="1:4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R17" s="38"/>
      <c r="S17" s="38"/>
      <c r="T17" s="38"/>
      <c r="U17" s="38"/>
      <c r="V17" s="38"/>
      <c r="W17" s="38"/>
      <c r="X17" s="38"/>
      <c r="Y17" s="38"/>
      <c r="AA17" s="38"/>
      <c r="AB17" s="38"/>
      <c r="AC17" s="38"/>
      <c r="AD17" s="38"/>
      <c r="AE17" s="38"/>
      <c r="AU17" s="79" t="str">
        <f>A16</f>
        <v>Gas Refinería</v>
      </c>
      <c r="AV17" s="80">
        <f>HLOOKUP(MAXA(B4:M4),$B$4:$M$49,13,FALSE)</f>
        <v>177.91800000000001</v>
      </c>
      <c r="AW17" s="80"/>
    </row>
    <row r="18" spans="1:49" ht="16.5" customHeight="1" x14ac:dyDescent="0.2">
      <c r="A18" s="9" t="s">
        <v>16</v>
      </c>
      <c r="B18" s="3">
        <v>108.21899999999999</v>
      </c>
      <c r="C18" s="2">
        <v>98.212999999999994</v>
      </c>
      <c r="D18" s="2">
        <v>102.102</v>
      </c>
      <c r="E18" s="2">
        <v>82.632000000000005</v>
      </c>
      <c r="F18" s="2">
        <v>86.576999999999998</v>
      </c>
      <c r="G18" s="2">
        <v>74.088999999999999</v>
      </c>
      <c r="H18" s="2">
        <v>93.162000000000006</v>
      </c>
      <c r="I18" s="2">
        <v>83.454999999999998</v>
      </c>
      <c r="J18" s="2">
        <v>83.245000000000005</v>
      </c>
      <c r="K18" s="2">
        <v>88.281000000000006</v>
      </c>
      <c r="L18" s="2">
        <v>98.221999999999994</v>
      </c>
      <c r="M18" s="2">
        <v>115.131</v>
      </c>
      <c r="N18" s="4">
        <f t="shared" si="0"/>
        <v>1113.3280000000002</v>
      </c>
      <c r="AU18" s="79" t="str">
        <f t="shared" ref="AU18:AU50" si="1">A17</f>
        <v>Etano</v>
      </c>
      <c r="AV18" s="80">
        <f>HLOOKUP(MAXA(B4:M4),$B$4:$M$49,14,FALSE)</f>
        <v>0</v>
      </c>
      <c r="AW18" s="80"/>
    </row>
    <row r="19" spans="1:49" ht="16.5" customHeight="1" x14ac:dyDescent="0.2">
      <c r="A19" s="9" t="s">
        <v>17</v>
      </c>
      <c r="B19" s="3">
        <v>25.813999999999993</v>
      </c>
      <c r="C19" s="2">
        <v>15.995000000000005</v>
      </c>
      <c r="D19" s="2">
        <v>2.8889999999999958</v>
      </c>
      <c r="E19" s="2">
        <v>8.0939999999999941</v>
      </c>
      <c r="F19" s="2">
        <v>0</v>
      </c>
      <c r="G19" s="2">
        <v>0.72100000000000364</v>
      </c>
      <c r="H19" s="2">
        <v>18.49799999999999</v>
      </c>
      <c r="I19" s="2">
        <v>0.9620000000000033</v>
      </c>
      <c r="J19" s="2">
        <v>0</v>
      </c>
      <c r="K19" s="2">
        <v>26.23899999999999</v>
      </c>
      <c r="L19" s="2">
        <v>13.199000000000012</v>
      </c>
      <c r="M19" s="2">
        <v>25.479000000000013</v>
      </c>
      <c r="N19" s="4">
        <f t="shared" si="0"/>
        <v>137.88999999999999</v>
      </c>
      <c r="AU19" s="79" t="str">
        <f t="shared" si="1"/>
        <v>Butano</v>
      </c>
      <c r="AV19" s="80">
        <f>HLOOKUP(MAXA(B4:M4),$B$4:$M$49,15,FALSE)</f>
        <v>115.131</v>
      </c>
      <c r="AW19" s="80"/>
    </row>
    <row r="20" spans="1:49" ht="16.5" customHeight="1" x14ac:dyDescent="0.2">
      <c r="A20" s="9" t="s">
        <v>18</v>
      </c>
      <c r="B20" s="3">
        <v>151.98500000000001</v>
      </c>
      <c r="C20" s="2">
        <v>150.405</v>
      </c>
      <c r="D20" s="2">
        <v>125.714</v>
      </c>
      <c r="E20" s="2">
        <v>152.62799999999999</v>
      </c>
      <c r="F20" s="2">
        <v>162.30500000000001</v>
      </c>
      <c r="G20" s="2">
        <v>137.31100000000001</v>
      </c>
      <c r="H20" s="2">
        <v>142.62</v>
      </c>
      <c r="I20" s="2">
        <v>164.34399999999999</v>
      </c>
      <c r="J20" s="2">
        <v>132.96299999999999</v>
      </c>
      <c r="K20" s="2">
        <v>138.797</v>
      </c>
      <c r="L20" s="2">
        <v>111.91200000000001</v>
      </c>
      <c r="M20" s="2">
        <v>164.97399999999999</v>
      </c>
      <c r="N20" s="4">
        <f t="shared" si="0"/>
        <v>1735.9580000000001</v>
      </c>
      <c r="AU20" s="79" t="str">
        <f t="shared" si="1"/>
        <v>Propano</v>
      </c>
      <c r="AV20" s="80">
        <f>HLOOKUP(MAXA(B4:M4),$B$4:$M$49,16,FALSE)</f>
        <v>25.479000000000013</v>
      </c>
      <c r="AW20" s="80"/>
    </row>
    <row r="21" spans="1:4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AU21" s="79" t="str">
        <f t="shared" si="1"/>
        <v>Nafta</v>
      </c>
      <c r="AV21" s="80">
        <f>HLOOKUP(MAXA(B4:M4),$B$4:$M$49,17,FALSE)</f>
        <v>164.97399999999999</v>
      </c>
      <c r="AW21" s="80"/>
    </row>
    <row r="22" spans="1:49" ht="16.5" customHeight="1" x14ac:dyDescent="0.2">
      <c r="A22" s="9" t="s">
        <v>20</v>
      </c>
      <c r="B22" s="3">
        <v>104.45099999999999</v>
      </c>
      <c r="C22" s="2">
        <v>100.797</v>
      </c>
      <c r="D22" s="2">
        <v>107.002</v>
      </c>
      <c r="E22" s="2">
        <v>102.251</v>
      </c>
      <c r="F22" s="2">
        <v>104.72499999999999</v>
      </c>
      <c r="G22" s="2">
        <v>95.748999999999995</v>
      </c>
      <c r="H22" s="2">
        <v>79.078999999999994</v>
      </c>
      <c r="I22" s="2">
        <v>65.63</v>
      </c>
      <c r="J22" s="2">
        <v>90.228999999999999</v>
      </c>
      <c r="K22" s="2">
        <v>87.45</v>
      </c>
      <c r="L22" s="2">
        <v>103.256</v>
      </c>
      <c r="M22" s="2">
        <v>97.415000000000006</v>
      </c>
      <c r="N22" s="4">
        <f t="shared" si="0"/>
        <v>1138.0340000000001</v>
      </c>
      <c r="AU22" s="79" t="str">
        <f t="shared" si="1"/>
        <v>Gasolina 97 I.O.</v>
      </c>
      <c r="AV22" s="80">
        <f>HLOOKUP(MAXA(B4:M4),$B$4:$M$49,18,FALSE)</f>
        <v>0</v>
      </c>
      <c r="AW22" s="80"/>
    </row>
    <row r="23" spans="1:49" ht="16.5" customHeight="1" x14ac:dyDescent="0.2">
      <c r="A23" s="9" t="s">
        <v>21</v>
      </c>
      <c r="B23" s="3">
        <v>4.3689999999999998</v>
      </c>
      <c r="C23" s="2">
        <v>10.430999999999999</v>
      </c>
      <c r="D23" s="2">
        <v>6.8049999999999997</v>
      </c>
      <c r="E23" s="2">
        <v>8.7070000000000007</v>
      </c>
      <c r="F23" s="2">
        <v>13.742000000000001</v>
      </c>
      <c r="G23" s="2">
        <v>10.093999999999999</v>
      </c>
      <c r="H23" s="2">
        <v>7.5359999999999996</v>
      </c>
      <c r="I23" s="2">
        <v>4.6150000000000002</v>
      </c>
      <c r="J23" s="2">
        <v>12.417</v>
      </c>
      <c r="K23" s="2">
        <v>6.4210000000000003</v>
      </c>
      <c r="L23" s="2">
        <v>4.7949999999999999</v>
      </c>
      <c r="M23" s="2">
        <v>5.5869999999999997</v>
      </c>
      <c r="N23" s="4">
        <f t="shared" si="0"/>
        <v>95.51900000000002</v>
      </c>
      <c r="AU23" s="79" t="str">
        <f t="shared" si="1"/>
        <v>Gasolina 95 I.O.</v>
      </c>
      <c r="AV23" s="80">
        <f>HLOOKUP(MAXA(B4:M4),$B$4:$M$49,19,FALSE)</f>
        <v>97.415000000000006</v>
      </c>
      <c r="AW23" s="80"/>
    </row>
    <row r="24" spans="1:4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AU24" s="79" t="str">
        <f t="shared" si="1"/>
        <v>Gasolina 98 I.O.</v>
      </c>
      <c r="AV24" s="80">
        <f>HLOOKUP(MAXA(B4:M4),$B$4:$M$49,20,FALSE)</f>
        <v>5.5869999999999997</v>
      </c>
      <c r="AW24" s="80"/>
    </row>
    <row r="25" spans="1:49" ht="16.5" customHeight="1" x14ac:dyDescent="0.2">
      <c r="A25" s="9" t="s">
        <v>23</v>
      </c>
      <c r="B25" s="3">
        <v>746.77500000000009</v>
      </c>
      <c r="C25" s="2">
        <v>593.98899999999992</v>
      </c>
      <c r="D25" s="2">
        <v>650.19499999999994</v>
      </c>
      <c r="E25" s="2">
        <v>724.36799999999994</v>
      </c>
      <c r="F25" s="2">
        <v>757.63400000000001</v>
      </c>
      <c r="G25" s="2">
        <v>648.99199999999996</v>
      </c>
      <c r="H25" s="2">
        <v>799.53599999999994</v>
      </c>
      <c r="I25" s="2">
        <v>803.70100000000002</v>
      </c>
      <c r="J25" s="2">
        <v>722.02499999999998</v>
      </c>
      <c r="K25" s="2">
        <v>670.45699999999999</v>
      </c>
      <c r="L25" s="2">
        <v>674.22900000000004</v>
      </c>
      <c r="M25" s="2">
        <v>743.75700000000006</v>
      </c>
      <c r="N25" s="4">
        <f t="shared" si="0"/>
        <v>8535.6580000000013</v>
      </c>
      <c r="AU25" s="79" t="str">
        <f t="shared" si="1"/>
        <v>Gasolina de Aviación</v>
      </c>
      <c r="AV25" s="80">
        <f>HLOOKUP(MAXA(B4:M4),$B$4:$M$49,21,FALSE)</f>
        <v>0</v>
      </c>
      <c r="AW25" s="80"/>
    </row>
    <row r="26" spans="1:4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AU26" s="79" t="str">
        <f t="shared" si="1"/>
        <v>Otras Gasolinas</v>
      </c>
      <c r="AV26" s="80">
        <f>HLOOKUP(MAXA(B4:M4),$B$4:$M$49,22,FALSE)</f>
        <v>743.75700000000006</v>
      </c>
      <c r="AW26" s="80"/>
    </row>
    <row r="27" spans="1:4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AU27" s="79" t="str">
        <f t="shared" si="1"/>
        <v>Bioetanol</v>
      </c>
      <c r="AV27" s="80">
        <f>HLOOKUP(MAXA(B4:M4),$B$4:$M$49,23,FALSE)</f>
        <v>0</v>
      </c>
      <c r="AW27" s="80"/>
    </row>
    <row r="28" spans="1:49" ht="16.5" customHeight="1" x14ac:dyDescent="0.2">
      <c r="A28" s="9" t="s">
        <v>26</v>
      </c>
      <c r="B28" s="3">
        <v>51.722999999999999</v>
      </c>
      <c r="C28" s="2">
        <v>47.917000000000002</v>
      </c>
      <c r="D28" s="2">
        <v>45.72</v>
      </c>
      <c r="E28" s="2">
        <v>40.491</v>
      </c>
      <c r="F28" s="2">
        <v>40.094000000000001</v>
      </c>
      <c r="G28" s="2">
        <v>36.81</v>
      </c>
      <c r="H28" s="2">
        <v>38.354999999999997</v>
      </c>
      <c r="I28" s="2">
        <v>34.292000000000002</v>
      </c>
      <c r="J28" s="2">
        <v>47.48</v>
      </c>
      <c r="K28" s="2">
        <v>49.314999999999998</v>
      </c>
      <c r="L28" s="2">
        <v>45.402000000000001</v>
      </c>
      <c r="M28" s="2">
        <v>47.030999999999999</v>
      </c>
      <c r="N28" s="4">
        <f t="shared" si="0"/>
        <v>524.63</v>
      </c>
      <c r="AU28" s="79" t="str">
        <f t="shared" si="1"/>
        <v>Gasolinas Mezcla</v>
      </c>
      <c r="AV28" s="80">
        <f>HLOOKUP(MAXA(B4:M4),$B$4:$M$49,24,FALSE)</f>
        <v>0</v>
      </c>
      <c r="AW28" s="80"/>
    </row>
    <row r="29" spans="1:49" ht="33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AU29" s="79" t="str">
        <f t="shared" si="1"/>
        <v>Queroseno aviac. Jet A1</v>
      </c>
      <c r="AV29" s="80">
        <f>HLOOKUP(MAXA(B4:M4),$B$4:$M$49,25,FALSE)</f>
        <v>47.030999999999999</v>
      </c>
      <c r="AW29" s="80"/>
    </row>
    <row r="30" spans="1:49" ht="21.75" customHeight="1" x14ac:dyDescent="0.2">
      <c r="A30" s="9" t="s">
        <v>28</v>
      </c>
      <c r="B30" s="3">
        <v>895.24099999999999</v>
      </c>
      <c r="C30" s="2">
        <v>847.84</v>
      </c>
      <c r="D30" s="2">
        <v>801.21</v>
      </c>
      <c r="E30" s="2">
        <v>767.08299999999997</v>
      </c>
      <c r="F30" s="2">
        <v>891.09799999999996</v>
      </c>
      <c r="G30" s="2">
        <v>791.65700000000004</v>
      </c>
      <c r="H30" s="2">
        <v>862.50699999999995</v>
      </c>
      <c r="I30" s="2">
        <v>850.21199999999999</v>
      </c>
      <c r="J30" s="2">
        <v>770.25</v>
      </c>
      <c r="K30" s="2">
        <v>846.28200000000004</v>
      </c>
      <c r="L30" s="2">
        <v>736.69100000000003</v>
      </c>
      <c r="M30" s="2">
        <v>784.56600000000003</v>
      </c>
      <c r="N30" s="4">
        <f t="shared" si="0"/>
        <v>9844.6370000000006</v>
      </c>
      <c r="AU30" s="79" t="str">
        <f t="shared" si="1"/>
        <v>Queroseno aviac. Jet A2</v>
      </c>
      <c r="AV30" s="80">
        <f>HLOOKUP(MAXA(B4:M4),$B$4:$M$49,26,FALSE)</f>
        <v>0</v>
      </c>
      <c r="AW30" s="80"/>
    </row>
    <row r="31" spans="1:4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  <c r="AU31" s="79" t="str">
        <f t="shared" si="1"/>
        <v>Otros Querosenos</v>
      </c>
      <c r="AV31" s="80">
        <f>HLOOKUP(MAXA(B4:M4),$B$4:$M$49,27,FALSE)</f>
        <v>784.56600000000003</v>
      </c>
      <c r="AW31" s="80"/>
    </row>
    <row r="32" spans="1:49" ht="16.5" customHeight="1" x14ac:dyDescent="0.2">
      <c r="A32" s="9" t="s">
        <v>30</v>
      </c>
      <c r="B32" s="3">
        <v>245.779</v>
      </c>
      <c r="C32" s="2">
        <v>218.411</v>
      </c>
      <c r="D32" s="2">
        <v>305.12599999999998</v>
      </c>
      <c r="E32" s="2">
        <v>271.846</v>
      </c>
      <c r="F32" s="2">
        <v>268.11700000000002</v>
      </c>
      <c r="G32" s="2">
        <v>189.79</v>
      </c>
      <c r="H32" s="2">
        <v>250.96199999999999</v>
      </c>
      <c r="I32" s="2">
        <v>303.04199999999997</v>
      </c>
      <c r="J32" s="2">
        <v>251.733</v>
      </c>
      <c r="K32" s="2">
        <v>235.096</v>
      </c>
      <c r="L32" s="2">
        <v>235.82900000000001</v>
      </c>
      <c r="M32" s="2">
        <v>244.75200000000001</v>
      </c>
      <c r="N32" s="4">
        <f t="shared" si="0"/>
        <v>3020.4830000000002</v>
      </c>
      <c r="AU32" s="79" t="str">
        <f t="shared" si="1"/>
        <v>Gasóleo A</v>
      </c>
      <c r="AV32" s="80">
        <f>HLOOKUP(MAXA(B4:M4),$B$4:$M$49,28,FALSE)</f>
        <v>0</v>
      </c>
      <c r="AW32" s="80"/>
    </row>
    <row r="33" spans="1:49" ht="16.5" customHeight="1" x14ac:dyDescent="0.2">
      <c r="A33" s="9" t="s">
        <v>31</v>
      </c>
      <c r="B33" s="3">
        <v>35.982999999999997</v>
      </c>
      <c r="C33" s="2">
        <v>46.74</v>
      </c>
      <c r="D33" s="2">
        <v>23.43</v>
      </c>
      <c r="E33" s="2">
        <v>27.341000000000001</v>
      </c>
      <c r="F33" s="2">
        <v>34.960999999999999</v>
      </c>
      <c r="G33" s="2">
        <v>22.378</v>
      </c>
      <c r="H33" s="2">
        <v>28.337</v>
      </c>
      <c r="I33" s="2">
        <v>19.952000000000002</v>
      </c>
      <c r="J33" s="2">
        <v>21.782</v>
      </c>
      <c r="K33" s="2">
        <v>27.518000000000001</v>
      </c>
      <c r="L33" s="2">
        <v>39.524999999999999</v>
      </c>
      <c r="M33" s="2">
        <v>38.040999999999997</v>
      </c>
      <c r="N33" s="4">
        <f t="shared" si="0"/>
        <v>365.98799999999989</v>
      </c>
      <c r="AU33" s="79" t="str">
        <f t="shared" si="1"/>
        <v>Gasóleo A 10 PPM</v>
      </c>
      <c r="AV33" s="80">
        <f>HLOOKUP(MAXA(B4:M4),$B$4:$M$49,29,FALSE)</f>
        <v>244.75200000000001</v>
      </c>
      <c r="AW33" s="80"/>
    </row>
    <row r="34" spans="1:49" ht="16.5" customHeight="1" x14ac:dyDescent="0.2">
      <c r="A34" s="9" t="s">
        <v>32</v>
      </c>
      <c r="B34" s="3">
        <v>13.041</v>
      </c>
      <c r="C34" s="2">
        <v>19.974</v>
      </c>
      <c r="D34" s="2">
        <v>7.0830000000000002</v>
      </c>
      <c r="E34" s="2">
        <v>6.8419999999999996</v>
      </c>
      <c r="F34" s="2">
        <v>7.3479999999999999</v>
      </c>
      <c r="G34" s="2">
        <v>4.2850000000000001</v>
      </c>
      <c r="H34" s="2">
        <v>3.3490000000000002</v>
      </c>
      <c r="I34" s="2">
        <v>2.9279999999999999</v>
      </c>
      <c r="J34" s="2">
        <v>4.9349999999999996</v>
      </c>
      <c r="K34" s="2">
        <v>15.093999999999999</v>
      </c>
      <c r="L34" s="2">
        <v>15.789</v>
      </c>
      <c r="M34" s="2">
        <v>11.247999999999999</v>
      </c>
      <c r="N34" s="4">
        <f t="shared" si="0"/>
        <v>111.916</v>
      </c>
      <c r="AU34" s="79" t="str">
        <f t="shared" si="1"/>
        <v>Gasóleo B</v>
      </c>
      <c r="AV34" s="80">
        <f>HLOOKUP(MAXA(B4:M4),$B$4:$M$49,30,FALSE)</f>
        <v>38.040999999999997</v>
      </c>
      <c r="AW34" s="80"/>
    </row>
    <row r="35" spans="1:49" ht="16.5" customHeight="1" x14ac:dyDescent="0.2">
      <c r="A35" s="9" t="s">
        <v>33</v>
      </c>
      <c r="B35" s="3">
        <v>63.41</v>
      </c>
      <c r="C35" s="2">
        <v>61.116</v>
      </c>
      <c r="D35" s="2">
        <v>61.688000000000002</v>
      </c>
      <c r="E35" s="2">
        <v>54.295999999999999</v>
      </c>
      <c r="F35" s="2">
        <v>24.411000000000001</v>
      </c>
      <c r="G35" s="2">
        <v>31.623000000000001</v>
      </c>
      <c r="H35" s="2">
        <v>46.93</v>
      </c>
      <c r="I35" s="2">
        <v>55.896999999999998</v>
      </c>
      <c r="J35" s="2">
        <v>58.713999999999999</v>
      </c>
      <c r="K35" s="2">
        <v>68.896000000000001</v>
      </c>
      <c r="L35" s="2">
        <v>71.676000000000002</v>
      </c>
      <c r="M35" s="2">
        <v>62.74</v>
      </c>
      <c r="N35" s="4">
        <f t="shared" si="0"/>
        <v>661.39700000000005</v>
      </c>
      <c r="AU35" s="79" t="str">
        <f t="shared" si="1"/>
        <v>Gasóleo C</v>
      </c>
      <c r="AV35" s="80">
        <f>HLOOKUP(MAXA(B4:M4),$B$4:$M$49,31,FALSE)</f>
        <v>11.247999999999999</v>
      </c>
      <c r="AW35" s="80"/>
    </row>
    <row r="36" spans="1:49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  <c r="AU36" s="79" t="str">
        <f t="shared" si="1"/>
        <v>Gasóleo para uso marítimo</v>
      </c>
      <c r="AV36" s="80">
        <f>HLOOKUP(MAXA(B4:M4),$B$4:$M$49,32,FALSE)</f>
        <v>62.74</v>
      </c>
      <c r="AW36" s="80"/>
    </row>
    <row r="37" spans="1:49" ht="16.5" customHeight="1" x14ac:dyDescent="0.2">
      <c r="A37" s="9" t="s">
        <v>35</v>
      </c>
      <c r="B37" s="3">
        <v>1940.8810000000001</v>
      </c>
      <c r="C37" s="2">
        <v>1778.627</v>
      </c>
      <c r="D37" s="2">
        <v>1771.9349999999999</v>
      </c>
      <c r="E37" s="2">
        <v>1729.0639999999999</v>
      </c>
      <c r="F37" s="2">
        <v>1853.5090000000002</v>
      </c>
      <c r="G37" s="2">
        <v>1689.8719999999998</v>
      </c>
      <c r="H37" s="2">
        <v>1784.0399999999997</v>
      </c>
      <c r="I37" s="2">
        <v>1724.0339999999999</v>
      </c>
      <c r="J37" s="2">
        <v>1620.6510000000001</v>
      </c>
      <c r="K37" s="2">
        <v>1733.66</v>
      </c>
      <c r="L37" s="2">
        <v>1528.53</v>
      </c>
      <c r="M37" s="2">
        <v>1780.252</v>
      </c>
      <c r="N37" s="4">
        <f t="shared" si="0"/>
        <v>20935.054999999997</v>
      </c>
      <c r="AU37" s="79" t="str">
        <f t="shared" si="1"/>
        <v>Diésel para uso marítimo</v>
      </c>
      <c r="AV37" s="80">
        <f>HLOOKUP(MAXA(B4:M4),$B$4:$M$49,33,FALSE)</f>
        <v>0</v>
      </c>
      <c r="AW37" s="80"/>
    </row>
    <row r="38" spans="1:49" ht="16.5" customHeight="1" x14ac:dyDescent="0.2">
      <c r="A38" s="9" t="s">
        <v>36</v>
      </c>
      <c r="B38" s="3">
        <v>0</v>
      </c>
      <c r="C38" s="2">
        <v>7.27</v>
      </c>
      <c r="D38" s="2">
        <v>18.771000000000001</v>
      </c>
      <c r="E38" s="2">
        <v>22.597000000000001</v>
      </c>
      <c r="F38" s="2">
        <v>42.872</v>
      </c>
      <c r="G38" s="2">
        <v>37.173000000000002</v>
      </c>
      <c r="H38" s="2">
        <v>38.064</v>
      </c>
      <c r="I38" s="2">
        <v>40.988</v>
      </c>
      <c r="J38" s="2">
        <v>27.469000000000001</v>
      </c>
      <c r="K38" s="2">
        <v>23.576000000000001</v>
      </c>
      <c r="L38" s="2">
        <v>36.21</v>
      </c>
      <c r="M38" s="2">
        <v>14.125</v>
      </c>
      <c r="N38" s="4">
        <f t="shared" si="0"/>
        <v>309.11499999999995</v>
      </c>
      <c r="AU38" s="79" t="str">
        <f t="shared" si="1"/>
        <v>Otros Gasóleos</v>
      </c>
      <c r="AV38" s="80">
        <f>HLOOKUP(MAXA(B4:M4),$B$4:$M$49,34,FALSE)</f>
        <v>1780.252</v>
      </c>
      <c r="AW38" s="80"/>
    </row>
    <row r="39" spans="1:49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  <c r="AU39" s="79" t="str">
        <f t="shared" si="1"/>
        <v>Biodiesel</v>
      </c>
      <c r="AV39" s="80">
        <f>HLOOKUP(MAXA(B4:M4),$B$4:$M$49,35,FALSE)</f>
        <v>14.125</v>
      </c>
      <c r="AW39" s="80"/>
    </row>
    <row r="40" spans="1:49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1E-3</v>
      </c>
      <c r="N40" s="4">
        <f t="shared" si="0"/>
        <v>1E-3</v>
      </c>
      <c r="AU40" s="79" t="str">
        <f t="shared" si="1"/>
        <v>Biodiesel Mezcla</v>
      </c>
      <c r="AV40" s="80">
        <f>HLOOKUP(MAXA(B4:M4),$B$4:$M$49,36,FALSE)</f>
        <v>0</v>
      </c>
      <c r="AW40" s="80"/>
    </row>
    <row r="41" spans="1:49" ht="16.5" customHeight="1" x14ac:dyDescent="0.2">
      <c r="A41" s="9" t="s">
        <v>39</v>
      </c>
      <c r="B41" s="3">
        <v>0</v>
      </c>
      <c r="C41" s="2">
        <v>0</v>
      </c>
      <c r="D41" s="2">
        <v>3.6320000000000001</v>
      </c>
      <c r="E41" s="2">
        <v>0</v>
      </c>
      <c r="F41" s="2">
        <v>1.3049999999999999</v>
      </c>
      <c r="G41" s="2">
        <v>0.7</v>
      </c>
      <c r="H41" s="2">
        <v>0.152</v>
      </c>
      <c r="I41" s="2">
        <v>0</v>
      </c>
      <c r="J41" s="2">
        <v>0</v>
      </c>
      <c r="K41" s="2">
        <v>2.8000000000000001E-2</v>
      </c>
      <c r="L41" s="2">
        <v>1.2E-2</v>
      </c>
      <c r="M41" s="2">
        <v>0</v>
      </c>
      <c r="N41" s="4">
        <f t="shared" si="0"/>
        <v>5.8289999999999997</v>
      </c>
      <c r="AU41" s="79" t="str">
        <f t="shared" si="1"/>
        <v>Fuelóleo BIA</v>
      </c>
      <c r="AV41" s="80">
        <f>HLOOKUP(MAXA(B4:M4),$B$4:$M$49,37,FALSE)</f>
        <v>1E-3</v>
      </c>
      <c r="AW41" s="80"/>
    </row>
    <row r="42" spans="1:49" ht="16.5" customHeight="1" x14ac:dyDescent="0.2">
      <c r="A42" s="9" t="s">
        <v>60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  <c r="AU42" s="79" t="str">
        <f t="shared" si="1"/>
        <v>Fuelóleo de refineria</v>
      </c>
      <c r="AV42" s="80">
        <f>HLOOKUP(MAXA(B4:M4),$B$4:$M$49,38,FALSE)</f>
        <v>0</v>
      </c>
      <c r="AW42" s="80"/>
    </row>
    <row r="43" spans="1:49" ht="16.5" customHeight="1" x14ac:dyDescent="0.2">
      <c r="A43" s="9" t="s">
        <v>40</v>
      </c>
      <c r="B43" s="3">
        <v>450.274</v>
      </c>
      <c r="C43" s="2">
        <v>328.14400000000001</v>
      </c>
      <c r="D43" s="2">
        <v>407.99200000000002</v>
      </c>
      <c r="E43" s="2">
        <v>432.93200000000002</v>
      </c>
      <c r="F43" s="2">
        <v>451.53199999999998</v>
      </c>
      <c r="G43" s="2">
        <v>425.28399999999999</v>
      </c>
      <c r="H43" s="2">
        <v>416.22699999999998</v>
      </c>
      <c r="I43" s="2">
        <v>384.89699999999999</v>
      </c>
      <c r="J43" s="2">
        <v>376.89400000000001</v>
      </c>
      <c r="K43" s="2">
        <v>322.41199999999998</v>
      </c>
      <c r="L43" s="2">
        <v>271.10300000000001</v>
      </c>
      <c r="M43" s="2">
        <v>383.76700000000005</v>
      </c>
      <c r="N43" s="4">
        <f t="shared" si="0"/>
        <v>4651.4579999999996</v>
      </c>
      <c r="AU43" s="79" t="str">
        <f t="shared" si="1"/>
        <v>Otros combustibles para uso marítimo</v>
      </c>
      <c r="AV43" s="80">
        <f>HLOOKUP(MAXA(B4:M4),$B$4:$M$49,39,FALSE)</f>
        <v>0</v>
      </c>
      <c r="AW43" s="80"/>
    </row>
    <row r="44" spans="1:49" ht="16.5" customHeight="1" x14ac:dyDescent="0.2">
      <c r="A44" s="9" t="s">
        <v>41</v>
      </c>
      <c r="B44" s="3">
        <v>26.797000000000001</v>
      </c>
      <c r="C44" s="2">
        <v>22.974</v>
      </c>
      <c r="D44" s="2">
        <v>24.135999999999999</v>
      </c>
      <c r="E44" s="2">
        <v>24.268999999999998</v>
      </c>
      <c r="F44" s="2">
        <v>21.446000000000002</v>
      </c>
      <c r="G44" s="2">
        <v>19.661000000000001</v>
      </c>
      <c r="H44" s="2">
        <v>29.905000000000001</v>
      </c>
      <c r="I44" s="2">
        <v>26.986000000000001</v>
      </c>
      <c r="J44" s="2">
        <v>23.268000000000001</v>
      </c>
      <c r="K44" s="2">
        <v>23.844999999999999</v>
      </c>
      <c r="L44" s="2">
        <v>12.422000000000001</v>
      </c>
      <c r="M44" s="2">
        <v>24.454999999999998</v>
      </c>
      <c r="N44" s="4">
        <f t="shared" si="0"/>
        <v>280.16399999999999</v>
      </c>
      <c r="AU44" s="79" t="str">
        <f t="shared" si="1"/>
        <v>Otros Fuelóleos</v>
      </c>
      <c r="AV44" s="80">
        <f>HLOOKUP(MAXA(B4:M4),$B$4:$M$49,40,FALSE)</f>
        <v>383.76700000000005</v>
      </c>
      <c r="AW44" s="80"/>
    </row>
    <row r="45" spans="1:49" ht="16.5" customHeight="1" x14ac:dyDescent="0.2">
      <c r="A45" s="9" t="s">
        <v>42</v>
      </c>
      <c r="B45" s="3">
        <v>120.872</v>
      </c>
      <c r="C45" s="2">
        <v>138.21100000000001</v>
      </c>
      <c r="D45" s="2">
        <v>163.62700000000001</v>
      </c>
      <c r="E45" s="2">
        <v>177.46</v>
      </c>
      <c r="F45" s="2">
        <v>137.023</v>
      </c>
      <c r="G45" s="2">
        <v>156.24799999999999</v>
      </c>
      <c r="H45" s="2">
        <v>175.59800000000001</v>
      </c>
      <c r="I45" s="2">
        <v>174.352</v>
      </c>
      <c r="J45" s="2">
        <v>180.56399999999999</v>
      </c>
      <c r="K45" s="2">
        <v>165.001</v>
      </c>
      <c r="L45" s="2">
        <v>123.381</v>
      </c>
      <c r="M45" s="2">
        <v>156.809</v>
      </c>
      <c r="N45" s="4">
        <f t="shared" si="0"/>
        <v>1869.1460000000002</v>
      </c>
      <c r="AU45" s="79" t="str">
        <f t="shared" si="1"/>
        <v>Aceites y bases lubricantes</v>
      </c>
      <c r="AV45" s="80">
        <f>HLOOKUP(MAXA(B4:M4),$B$4:$M$49,41,FALSE)</f>
        <v>24.454999999999998</v>
      </c>
      <c r="AW45" s="80"/>
    </row>
    <row r="46" spans="1:49" ht="16.5" customHeight="1" x14ac:dyDescent="0.2">
      <c r="A46" s="9" t="s">
        <v>43</v>
      </c>
      <c r="B46" s="3">
        <v>8.6430000000000007</v>
      </c>
      <c r="C46" s="2">
        <v>12.215999999999999</v>
      </c>
      <c r="D46" s="2">
        <v>12.93</v>
      </c>
      <c r="E46" s="2">
        <v>10.641999999999999</v>
      </c>
      <c r="F46" s="2">
        <v>10.715</v>
      </c>
      <c r="G46" s="2">
        <v>10.055999999999999</v>
      </c>
      <c r="H46" s="2">
        <v>11.307</v>
      </c>
      <c r="I46" s="2">
        <v>9.4489999999999998</v>
      </c>
      <c r="J46" s="2">
        <v>10.199</v>
      </c>
      <c r="K46" s="2">
        <v>9.4269999999999996</v>
      </c>
      <c r="L46" s="2">
        <v>0</v>
      </c>
      <c r="M46" s="2">
        <v>5.6609999999999996</v>
      </c>
      <c r="N46" s="4">
        <f t="shared" si="0"/>
        <v>111.245</v>
      </c>
      <c r="AU46" s="79" t="str">
        <f t="shared" si="1"/>
        <v>Productos asfálticos</v>
      </c>
      <c r="AV46" s="80">
        <f>HLOOKUP(MAXA(B4:M4),$B$4:$M$49,42,FALSE)</f>
        <v>156.809</v>
      </c>
      <c r="AW46" s="80"/>
    </row>
    <row r="47" spans="1:49" ht="16.5" customHeight="1" x14ac:dyDescent="0.2">
      <c r="A47" s="9" t="s">
        <v>44</v>
      </c>
      <c r="B47" s="3">
        <v>6.7759999999999998</v>
      </c>
      <c r="C47" s="2">
        <v>6.7039999999999997</v>
      </c>
      <c r="D47" s="2">
        <v>6.0789999999999997</v>
      </c>
      <c r="E47" s="2">
        <v>6.58</v>
      </c>
      <c r="F47" s="2">
        <v>6.9459999999999997</v>
      </c>
      <c r="G47" s="2">
        <v>6.45</v>
      </c>
      <c r="H47" s="2">
        <v>6.3410000000000002</v>
      </c>
      <c r="I47" s="2">
        <v>5.8310000000000004</v>
      </c>
      <c r="J47" s="2">
        <v>5.5659999999999998</v>
      </c>
      <c r="K47" s="2">
        <v>5.7</v>
      </c>
      <c r="L47" s="2">
        <v>2.9910000000000001</v>
      </c>
      <c r="M47" s="2">
        <v>3.887</v>
      </c>
      <c r="N47" s="4">
        <f t="shared" si="0"/>
        <v>69.851000000000013</v>
      </c>
      <c r="AU47" s="79" t="str">
        <f t="shared" si="1"/>
        <v>Disolventes</v>
      </c>
      <c r="AV47" s="80">
        <f>HLOOKUP(MAXA(B4:M4),$B$4:$M$49,43,FALSE)</f>
        <v>5.6609999999999996</v>
      </c>
      <c r="AW47" s="80"/>
    </row>
    <row r="48" spans="1:49" ht="16.5" customHeight="1" x14ac:dyDescent="0.2">
      <c r="A48" s="9" t="s">
        <v>45</v>
      </c>
      <c r="B48" s="3">
        <v>276.36099999999999</v>
      </c>
      <c r="C48" s="2">
        <v>333.20699999999999</v>
      </c>
      <c r="D48" s="2">
        <v>286.33100000000002</v>
      </c>
      <c r="E48" s="2">
        <v>247.52699999999999</v>
      </c>
      <c r="F48" s="2">
        <v>280.86399999999998</v>
      </c>
      <c r="G48" s="2">
        <v>274.50299999999999</v>
      </c>
      <c r="H48" s="2">
        <v>303.47500000000002</v>
      </c>
      <c r="I48" s="2">
        <v>301.76100000000002</v>
      </c>
      <c r="J48" s="2">
        <v>271.81900000000002</v>
      </c>
      <c r="K48" s="2">
        <v>296.07799999999997</v>
      </c>
      <c r="L48" s="2">
        <v>329.41199999999998</v>
      </c>
      <c r="M48" s="2">
        <v>304.04000000000002</v>
      </c>
      <c r="N48" s="4">
        <f t="shared" si="0"/>
        <v>3505.3779999999997</v>
      </c>
      <c r="AU48" s="79" t="str">
        <f t="shared" si="1"/>
        <v>Parafinas</v>
      </c>
      <c r="AV48" s="80">
        <f>HLOOKUP(MAXA(B4:M4),$B$4:$M$49,44,FALSE)</f>
        <v>3.887</v>
      </c>
      <c r="AW48" s="80"/>
    </row>
    <row r="49" spans="1:49" ht="18" customHeight="1" x14ac:dyDescent="0.2">
      <c r="A49" s="10" t="s">
        <v>52</v>
      </c>
      <c r="B49" s="7">
        <v>208.88499999999999</v>
      </c>
      <c r="C49" s="5">
        <v>231.21499999999924</v>
      </c>
      <c r="D49" s="5">
        <v>123.14199999999892</v>
      </c>
      <c r="E49" s="5">
        <v>178.24899999999997</v>
      </c>
      <c r="F49" s="5">
        <v>212.065</v>
      </c>
      <c r="G49" s="5">
        <v>164.25100000000111</v>
      </c>
      <c r="H49" s="5">
        <v>215.41199999999935</v>
      </c>
      <c r="I49" s="5">
        <v>256.44499999999971</v>
      </c>
      <c r="J49" s="5">
        <v>192.29900000000001</v>
      </c>
      <c r="K49" s="5">
        <v>175.37199999999939</v>
      </c>
      <c r="L49" s="5">
        <v>272.31600000000003</v>
      </c>
      <c r="M49" s="5">
        <v>223.53300000000002</v>
      </c>
      <c r="N49" s="6">
        <f t="shared" si="0"/>
        <v>2453.1839999999979</v>
      </c>
      <c r="AU49" s="79" t="str">
        <f t="shared" si="1"/>
        <v>Coque de petróleo</v>
      </c>
      <c r="AV49" s="80">
        <f>HLOOKUP(MAXA(B4:M4),$B$4:$M$49,45,FALSE)</f>
        <v>304.04000000000002</v>
      </c>
      <c r="AW49" s="80"/>
    </row>
    <row r="50" spans="1:49" x14ac:dyDescent="0.2">
      <c r="F50" s="41"/>
      <c r="AU50" s="79" t="str">
        <f t="shared" si="1"/>
        <v>Otros Productos</v>
      </c>
      <c r="AV50" s="80">
        <f>HLOOKUP(MAXA(B4:M4),$B$4:$M$49,46,FALSE)</f>
        <v>223.53300000000002</v>
      </c>
      <c r="AW50" s="80"/>
    </row>
    <row r="51" spans="1:49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49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49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49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49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49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49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49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49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49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49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49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49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  <c r="AR63" s="71"/>
    </row>
    <row r="64" spans="1:49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94488188976377951" bottom="0.55118110236220474" header="0.31496062992125984" footer="0.31496062992125984"/>
  <pageSetup paperSize="9" scale="6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24F8B-020F-4239-A44B-B5C589666664}">
  <sheetPr>
    <pageSetUpPr fitToPage="1"/>
  </sheetPr>
  <dimension ref="A1:BI250"/>
  <sheetViews>
    <sheetView showGridLines="0" tabSelected="1" zoomScale="70" zoomScaleNormal="70" workbookViewId="0">
      <selection activeCell="P3" sqref="P3"/>
    </sheetView>
  </sheetViews>
  <sheetFormatPr baseColWidth="10" defaultColWidth="11.5" defaultRowHeight="14.25" x14ac:dyDescent="0.2"/>
  <cols>
    <col min="1" max="1" width="66.5" customWidth="1"/>
    <col min="7" max="8" width="11.5" customWidth="1"/>
    <col min="9" max="11" width="11.5" style="1" customWidth="1"/>
    <col min="12" max="13" width="11.5" customWidth="1"/>
    <col min="14" max="14" width="21.375" bestFit="1" customWidth="1"/>
    <col min="15" max="15" width="3.75" customWidth="1"/>
    <col min="27" max="27" width="13.125" customWidth="1"/>
    <col min="43" max="43" width="9.75" customWidth="1"/>
    <col min="45" max="45" width="11.5" style="1"/>
    <col min="46" max="46" width="11.5" style="71" customWidth="1"/>
    <col min="47" max="47" width="36.75" style="71" customWidth="1"/>
    <col min="48" max="48" width="12.625" style="71" customWidth="1"/>
    <col min="49" max="49" width="11.5" style="71" customWidth="1"/>
    <col min="50" max="50" width="11.5" style="1"/>
    <col min="51" max="51" width="11.5" style="71"/>
    <col min="52" max="61" width="11.5" style="1"/>
  </cols>
  <sheetData>
    <row r="1" spans="1:61" ht="20.25" x14ac:dyDescent="0.3">
      <c r="A1" s="95" t="s">
        <v>46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Q1" s="53" t="str">
        <f>"MOVIMIENTO DE CRUDOS Y OBTENCIÓN DE PRODUCTOS PETROLÍFEROS - " &amp;AV3</f>
        <v>MOVIMIENTO DE CRUDOS Y OBTENCIÓN DE PRODUCTOS PETROLÍFEROS - MARZO 2025</v>
      </c>
      <c r="AE1" s="53" t="s">
        <v>64</v>
      </c>
    </row>
    <row r="2" spans="1:61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3" spans="1:61" x14ac:dyDescent="0.2">
      <c r="AV3" s="72" t="str">
        <f>UPPER(TEXT(MAXA(B4:M4),"mmmm aaaa"))</f>
        <v>MARZO 2025</v>
      </c>
    </row>
    <row r="4" spans="1:61" s="16" customFormat="1" ht="21" customHeight="1" x14ac:dyDescent="0.2">
      <c r="A4" s="11" t="s">
        <v>13</v>
      </c>
      <c r="B4" s="90">
        <v>45658</v>
      </c>
      <c r="C4" s="91">
        <v>45689</v>
      </c>
      <c r="D4" s="91">
        <v>45717</v>
      </c>
      <c r="E4" s="14"/>
      <c r="F4" s="14"/>
      <c r="G4" s="14"/>
      <c r="H4" s="14"/>
      <c r="I4" s="14"/>
      <c r="J4" s="14"/>
      <c r="K4" s="14"/>
      <c r="L4" s="14"/>
      <c r="M4" s="14"/>
      <c r="N4" s="15" t="s">
        <v>63</v>
      </c>
      <c r="Q4" s="54"/>
      <c r="R4" s="54"/>
      <c r="S4" s="54"/>
      <c r="T4" s="54"/>
      <c r="U4" s="54"/>
      <c r="V4" s="54"/>
      <c r="W4" s="54"/>
      <c r="X4" s="54"/>
      <c r="Y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S4" s="82"/>
      <c r="AT4" s="73"/>
      <c r="AU4" s="73"/>
      <c r="AV4" s="73"/>
      <c r="AW4" s="73"/>
      <c r="AX4" s="82"/>
      <c r="AY4" s="73"/>
      <c r="AZ4" s="82"/>
      <c r="BA4" s="82"/>
      <c r="BB4" s="82"/>
      <c r="BC4" s="82"/>
      <c r="BD4" s="82"/>
      <c r="BE4" s="82"/>
      <c r="BF4" s="82"/>
      <c r="BG4" s="82"/>
      <c r="BH4" s="82"/>
      <c r="BI4" s="82"/>
    </row>
    <row r="5" spans="1:61" s="21" customFormat="1" ht="21" customHeight="1" x14ac:dyDescent="0.2">
      <c r="A5" s="17" t="s">
        <v>0</v>
      </c>
      <c r="B5" s="18">
        <v>0.40699999999999997</v>
      </c>
      <c r="C5" s="19">
        <v>0.23899999999999999</v>
      </c>
      <c r="D5" s="19">
        <v>0.17599999999999999</v>
      </c>
      <c r="E5" s="19"/>
      <c r="F5" s="19"/>
      <c r="G5" s="19"/>
      <c r="H5" s="19"/>
      <c r="I5" s="45"/>
      <c r="J5" s="19"/>
      <c r="K5" s="19"/>
      <c r="L5" s="19"/>
      <c r="M5" s="19"/>
      <c r="N5" s="20">
        <f>SUM(B5:M5)</f>
        <v>0.82199999999999984</v>
      </c>
      <c r="P5" s="34"/>
      <c r="Q5" s="34"/>
      <c r="R5" s="47"/>
      <c r="AS5" s="32"/>
      <c r="AT5" s="74"/>
      <c r="AU5" s="74"/>
      <c r="AV5" s="74"/>
      <c r="AW5" s="74"/>
      <c r="AX5" s="32"/>
      <c r="AY5" s="74"/>
      <c r="AZ5" s="32"/>
      <c r="BA5" s="32"/>
      <c r="BB5" s="32"/>
      <c r="BC5" s="32"/>
      <c r="BD5" s="32"/>
      <c r="BE5" s="32"/>
      <c r="BF5" s="32"/>
      <c r="BG5" s="32"/>
      <c r="BH5" s="32"/>
      <c r="BI5" s="32"/>
    </row>
    <row r="6" spans="1:61" s="21" customFormat="1" ht="21" customHeight="1" x14ac:dyDescent="0.2">
      <c r="A6" s="22" t="s">
        <v>1</v>
      </c>
      <c r="B6" s="23">
        <v>5182.2709999999997</v>
      </c>
      <c r="C6" s="24">
        <v>5072.5690000000004</v>
      </c>
      <c r="D6" s="24">
        <v>5310.0219999999999</v>
      </c>
      <c r="E6" s="24"/>
      <c r="F6" s="24"/>
      <c r="G6" s="24"/>
      <c r="H6" s="24"/>
      <c r="I6" s="24"/>
      <c r="J6" s="24"/>
      <c r="K6" s="24"/>
      <c r="L6" s="24"/>
      <c r="M6" s="24"/>
      <c r="N6" s="25">
        <f>SUM(B6:M6)</f>
        <v>15564.862000000001</v>
      </c>
      <c r="P6" s="34"/>
      <c r="Q6" s="34"/>
      <c r="R6" s="47"/>
      <c r="AS6" s="32"/>
      <c r="AT6" s="74"/>
      <c r="AU6" s="75" t="str">
        <f>A6</f>
        <v>IMPORTACIONES DE CRUDO</v>
      </c>
      <c r="AV6" s="76">
        <f>HLOOKUP(MAXA(B4:M4),$B$4:$M$6,3,FALSE)</f>
        <v>5310.0219999999999</v>
      </c>
      <c r="AW6" s="74"/>
      <c r="AX6" s="32"/>
      <c r="AY6" s="74"/>
      <c r="AZ6" s="32"/>
      <c r="BA6" s="32"/>
      <c r="BB6" s="32"/>
      <c r="BC6" s="32"/>
      <c r="BD6" s="32"/>
      <c r="BE6" s="32"/>
      <c r="BF6" s="32"/>
      <c r="BG6" s="32"/>
      <c r="BH6" s="32"/>
      <c r="BI6" s="32"/>
    </row>
    <row r="7" spans="1:61" s="21" customFormat="1" ht="21" customHeight="1" x14ac:dyDescent="0.2">
      <c r="A7" s="26" t="s">
        <v>2</v>
      </c>
      <c r="B7" s="27">
        <v>192.98100000000068</v>
      </c>
      <c r="C7" s="28">
        <v>-49.119000000000597</v>
      </c>
      <c r="D7" s="28">
        <v>-73.728000000000065</v>
      </c>
      <c r="E7" s="28"/>
      <c r="F7" s="28"/>
      <c r="G7" s="28"/>
      <c r="H7" s="28"/>
      <c r="I7" s="28"/>
      <c r="J7" s="28"/>
      <c r="K7" s="28"/>
      <c r="L7" s="28"/>
      <c r="M7" s="28"/>
      <c r="N7" s="29">
        <f t="shared" ref="N7:N49" si="0">SUM(B7:M7)</f>
        <v>70.134000000000015</v>
      </c>
      <c r="P7" s="34"/>
      <c r="Q7" s="34"/>
      <c r="R7" s="47"/>
      <c r="AS7" s="32"/>
      <c r="AT7" s="74"/>
      <c r="AU7" s="75" t="str">
        <f>A12</f>
        <v>TOTAL PROCESADO</v>
      </c>
      <c r="AV7" s="76">
        <f>HLOOKUP(MAXA(B4:M4),$B$4:$M$12,9,FALSE)</f>
        <v>5323.6090000000004</v>
      </c>
      <c r="AW7" s="74"/>
      <c r="AX7" s="32"/>
      <c r="AY7" s="74"/>
      <c r="AZ7" s="32"/>
      <c r="BA7" s="32"/>
      <c r="BB7" s="32"/>
      <c r="BC7" s="32"/>
      <c r="BD7" s="32"/>
      <c r="BE7" s="32"/>
      <c r="BF7" s="32"/>
      <c r="BG7" s="32"/>
      <c r="BH7" s="32"/>
      <c r="BI7" s="32"/>
    </row>
    <row r="8" spans="1:61" s="21" customFormat="1" ht="21" customHeight="1" x14ac:dyDescent="0.2">
      <c r="A8" s="26" t="s">
        <v>3</v>
      </c>
      <c r="B8" s="27">
        <v>-118.96599999999999</v>
      </c>
      <c r="C8" s="28">
        <v>311.27600000000001</v>
      </c>
      <c r="D8" s="28">
        <v>-7.0119999999999996</v>
      </c>
      <c r="E8" s="28"/>
      <c r="F8" s="28"/>
      <c r="G8" s="28"/>
      <c r="H8" s="28"/>
      <c r="I8" s="28"/>
      <c r="J8" s="28"/>
      <c r="K8" s="28"/>
      <c r="L8" s="28"/>
      <c r="M8" s="28"/>
      <c r="N8" s="29">
        <f t="shared" si="0"/>
        <v>185.298</v>
      </c>
      <c r="P8" s="34"/>
      <c r="Q8" s="34"/>
      <c r="R8" s="47"/>
      <c r="AS8" s="32"/>
      <c r="AT8" s="74"/>
      <c r="AU8" s="75" t="str">
        <f>A15</f>
        <v>PRODUCCION BRUTA DE REFINERIA</v>
      </c>
      <c r="AV8" s="76">
        <f>HLOOKUP(MAXA(B4:M4),$B$4:$M$15,12,FALSE)</f>
        <v>5103.1990000000005</v>
      </c>
      <c r="AW8" s="74"/>
      <c r="AX8" s="32"/>
      <c r="AY8" s="74"/>
      <c r="AZ8" s="32"/>
      <c r="BA8" s="32"/>
      <c r="BB8" s="32"/>
      <c r="BC8" s="32"/>
      <c r="BD8" s="32"/>
      <c r="BE8" s="32"/>
      <c r="BF8" s="32"/>
      <c r="BG8" s="32"/>
      <c r="BH8" s="32"/>
      <c r="BI8" s="32"/>
    </row>
    <row r="9" spans="1:61" s="21" customFormat="1" ht="21" customHeight="1" x14ac:dyDescent="0.2">
      <c r="A9" s="26" t="s">
        <v>4</v>
      </c>
      <c r="B9" s="27">
        <v>251.21300000000002</v>
      </c>
      <c r="C9" s="28">
        <v>1.2939999999999827</v>
      </c>
      <c r="D9" s="28">
        <v>-56.305</v>
      </c>
      <c r="E9" s="28"/>
      <c r="F9" s="28"/>
      <c r="G9" s="28"/>
      <c r="H9" s="28"/>
      <c r="I9" s="28"/>
      <c r="J9" s="28"/>
      <c r="K9" s="28"/>
      <c r="L9" s="28"/>
      <c r="M9" s="28"/>
      <c r="N9" s="29">
        <f t="shared" si="0"/>
        <v>196.202</v>
      </c>
      <c r="P9" s="34"/>
      <c r="Q9" s="34"/>
      <c r="R9" s="47"/>
      <c r="AS9" s="32"/>
      <c r="AT9" s="74"/>
      <c r="AU9" s="74"/>
      <c r="AV9" s="76"/>
      <c r="AW9" s="74"/>
      <c r="AX9" s="32"/>
      <c r="AY9" s="74"/>
      <c r="AZ9" s="32"/>
      <c r="BA9" s="32"/>
      <c r="BB9" s="32"/>
      <c r="BC9" s="32"/>
      <c r="BD9" s="32"/>
      <c r="BE9" s="32"/>
      <c r="BF9" s="32"/>
      <c r="BG9" s="32"/>
      <c r="BH9" s="32"/>
      <c r="BI9" s="32"/>
    </row>
    <row r="10" spans="1:61" s="21" customFormat="1" ht="21" customHeight="1" x14ac:dyDescent="0.2">
      <c r="A10" s="26" t="s">
        <v>5</v>
      </c>
      <c r="B10" s="27">
        <v>62.945999999999998</v>
      </c>
      <c r="C10" s="28">
        <v>55.45</v>
      </c>
      <c r="D10" s="28">
        <v>23.821999999999999</v>
      </c>
      <c r="E10" s="28"/>
      <c r="F10" s="28"/>
      <c r="G10" s="28"/>
      <c r="H10" s="28"/>
      <c r="I10" s="28"/>
      <c r="J10" s="28"/>
      <c r="K10" s="28"/>
      <c r="L10" s="28"/>
      <c r="M10" s="28"/>
      <c r="N10" s="29">
        <f t="shared" si="0"/>
        <v>142.21799999999999</v>
      </c>
      <c r="P10" s="34"/>
      <c r="Q10" s="34"/>
      <c r="R10" s="47"/>
      <c r="AS10" s="32"/>
      <c r="AT10" s="74"/>
      <c r="AU10" s="74"/>
      <c r="AV10" s="76"/>
      <c r="AW10" s="74"/>
      <c r="AX10" s="32"/>
      <c r="AY10" s="74"/>
      <c r="AZ10" s="32"/>
      <c r="BA10" s="32"/>
      <c r="BB10" s="32"/>
      <c r="BC10" s="32"/>
      <c r="BD10" s="32"/>
      <c r="BE10" s="32"/>
      <c r="BF10" s="32"/>
      <c r="BG10" s="32"/>
      <c r="BH10" s="32"/>
      <c r="BI10" s="32"/>
    </row>
    <row r="11" spans="1:61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/>
      <c r="F11" s="28"/>
      <c r="G11" s="28"/>
      <c r="H11" s="28"/>
      <c r="I11" s="28"/>
      <c r="J11" s="28"/>
      <c r="K11" s="28"/>
      <c r="L11" s="28"/>
      <c r="M11" s="28"/>
      <c r="N11" s="29">
        <f t="shared" si="0"/>
        <v>0</v>
      </c>
      <c r="P11" s="35"/>
      <c r="Q11" s="55"/>
      <c r="R11" s="47"/>
      <c r="AS11" s="32"/>
      <c r="AT11" s="74"/>
      <c r="AU11" s="75" t="str">
        <f>A7</f>
        <v>IMPORTACIONES DE PROD. INTERMEDIOS Y MAT. AUXILIARES</v>
      </c>
      <c r="AV11" s="76">
        <f>HLOOKUP(MAXA(B4:M4),$B$4:$M$15,4,FALSE)</f>
        <v>-73.728000000000065</v>
      </c>
      <c r="AW11" s="74"/>
      <c r="AX11" s="32"/>
      <c r="AY11" s="74"/>
      <c r="AZ11" s="32"/>
      <c r="BA11" s="32"/>
      <c r="BB11" s="32"/>
      <c r="BC11" s="32"/>
      <c r="BD11" s="32"/>
      <c r="BE11" s="32"/>
      <c r="BF11" s="32"/>
      <c r="BG11" s="32"/>
      <c r="BH11" s="32"/>
      <c r="BI11" s="32"/>
    </row>
    <row r="12" spans="1:61" s="31" customFormat="1" ht="21" customHeight="1" x14ac:dyDescent="0.2">
      <c r="A12" s="22" t="s">
        <v>7</v>
      </c>
      <c r="B12" s="24">
        <v>5306.3580000000011</v>
      </c>
      <c r="C12" s="24">
        <v>4766.5689999999995</v>
      </c>
      <c r="D12" s="24">
        <v>5323.6090000000004</v>
      </c>
      <c r="E12" s="24"/>
      <c r="F12" s="24"/>
      <c r="G12" s="24"/>
      <c r="H12" s="24"/>
      <c r="I12" s="24"/>
      <c r="J12" s="24"/>
      <c r="K12" s="24"/>
      <c r="L12" s="24"/>
      <c r="M12" s="24"/>
      <c r="N12" s="25">
        <f>SUM(B12:M12)</f>
        <v>15396.536</v>
      </c>
      <c r="P12" s="34"/>
      <c r="Q12" s="34"/>
      <c r="R12" s="47"/>
      <c r="S12" s="56"/>
      <c r="T12" s="56"/>
      <c r="U12" s="56"/>
      <c r="V12" s="56"/>
      <c r="W12" s="56"/>
      <c r="X12" s="56"/>
      <c r="Y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S12" s="85"/>
      <c r="AT12" s="77"/>
      <c r="AU12" s="75" t="str">
        <f>A8</f>
        <v>VARIACION DE STOCKS DE CRUDOS (Ef-Ei)</v>
      </c>
      <c r="AV12" s="78">
        <f>HLOOKUP(MAXA(B4:M4),$B$4:$M$15,5,FALSE)</f>
        <v>-7.0119999999999996</v>
      </c>
      <c r="AW12" s="77"/>
      <c r="AX12" s="85"/>
      <c r="AY12" s="77"/>
      <c r="AZ12" s="85"/>
      <c r="BA12" s="85"/>
      <c r="BB12" s="85"/>
      <c r="BC12" s="85"/>
      <c r="BD12" s="85"/>
      <c r="BE12" s="85"/>
      <c r="BF12" s="85"/>
      <c r="BG12" s="85"/>
      <c r="BH12" s="85"/>
      <c r="BI12" s="85"/>
    </row>
    <row r="13" spans="1:61" s="21" customFormat="1" ht="21" customHeight="1" x14ac:dyDescent="0.2">
      <c r="A13" s="26" t="s">
        <v>12</v>
      </c>
      <c r="B13" s="27">
        <v>5301.6440000000002</v>
      </c>
      <c r="C13" s="28">
        <v>4761.5320000000002</v>
      </c>
      <c r="D13" s="28">
        <v>5317.21</v>
      </c>
      <c r="E13" s="28"/>
      <c r="F13" s="28"/>
      <c r="G13" s="28"/>
      <c r="H13" s="28"/>
      <c r="I13" s="28"/>
      <c r="J13" s="28"/>
      <c r="K13" s="28"/>
      <c r="L13" s="28"/>
      <c r="M13" s="28"/>
      <c r="N13" s="29">
        <f t="shared" si="0"/>
        <v>15380.385999999999</v>
      </c>
      <c r="P13" s="34"/>
      <c r="Q13" s="34"/>
      <c r="R13" s="47"/>
      <c r="AS13" s="32"/>
      <c r="AT13" s="74"/>
      <c r="AU13" s="75" t="str">
        <f>A9</f>
        <v>APROVISIONAMIENTO DE PROD. INTERMEDIOS Y MAT. AUXILIARES</v>
      </c>
      <c r="AV13" s="76">
        <f>HLOOKUP(MAXA(B4:M4),$B$4:$M$15,6,FALSE)</f>
        <v>-56.305</v>
      </c>
      <c r="AW13" s="74"/>
      <c r="AX13" s="32"/>
      <c r="AY13" s="74"/>
      <c r="AZ13" s="32"/>
      <c r="BA13" s="32"/>
      <c r="BB13" s="32"/>
      <c r="BC13" s="32"/>
      <c r="BD13" s="32"/>
      <c r="BE13" s="32"/>
      <c r="BF13" s="32"/>
      <c r="BG13" s="32"/>
      <c r="BH13" s="32"/>
      <c r="BI13" s="32"/>
    </row>
    <row r="14" spans="1:61" s="21" customFormat="1" ht="21" customHeight="1" x14ac:dyDescent="0.2">
      <c r="A14" s="26" t="s">
        <v>8</v>
      </c>
      <c r="B14" s="27">
        <v>157.89100000000144</v>
      </c>
      <c r="C14" s="28">
        <v>71.536999999999352</v>
      </c>
      <c r="D14" s="28">
        <v>220.40999999999985</v>
      </c>
      <c r="E14" s="28"/>
      <c r="F14" s="28"/>
      <c r="G14" s="28"/>
      <c r="H14" s="28"/>
      <c r="I14" s="46"/>
      <c r="J14" s="28"/>
      <c r="K14" s="28"/>
      <c r="L14" s="28"/>
      <c r="M14" s="28"/>
      <c r="N14" s="29">
        <f t="shared" si="0"/>
        <v>449.83800000000065</v>
      </c>
      <c r="P14" s="36"/>
      <c r="Q14" s="34"/>
      <c r="R14" s="47"/>
      <c r="S14" s="42"/>
      <c r="T14" s="42"/>
      <c r="U14" s="42"/>
      <c r="V14" s="42"/>
      <c r="W14" s="42"/>
      <c r="X14" s="42"/>
      <c r="Y14" s="42"/>
      <c r="AA14" s="42"/>
      <c r="AB14" s="42"/>
      <c r="AC14" s="42"/>
      <c r="AD14" s="42"/>
      <c r="AS14" s="32"/>
      <c r="AT14" s="74"/>
      <c r="AU14" s="75" t="str">
        <f>A10</f>
        <v>PRODUCTOS TRASPASADOS Y BACKFLOWS</v>
      </c>
      <c r="AV14" s="76">
        <f>HLOOKUP(MAXA(B4:M4),$B$4:$M$15,7,FALSE)</f>
        <v>23.821999999999999</v>
      </c>
      <c r="AW14" s="74"/>
      <c r="AX14" s="32"/>
      <c r="AY14" s="74"/>
      <c r="AZ14" s="32"/>
      <c r="BA14" s="32"/>
      <c r="BB14" s="32"/>
      <c r="BC14" s="32"/>
      <c r="BD14" s="32"/>
      <c r="BE14" s="32"/>
      <c r="BF14" s="32"/>
      <c r="BG14" s="32"/>
      <c r="BH14" s="32"/>
      <c r="BI14" s="32"/>
    </row>
    <row r="15" spans="1:61" s="32" customFormat="1" ht="21" customHeight="1" x14ac:dyDescent="0.2">
      <c r="A15" s="22" t="s">
        <v>9</v>
      </c>
      <c r="B15" s="24">
        <v>5148.4669999999987</v>
      </c>
      <c r="C15" s="24">
        <v>4695.0320000000002</v>
      </c>
      <c r="D15" s="24">
        <v>5103.1990000000005</v>
      </c>
      <c r="E15" s="24"/>
      <c r="F15" s="24"/>
      <c r="G15" s="24"/>
      <c r="H15" s="24"/>
      <c r="I15" s="24"/>
      <c r="J15" s="24"/>
      <c r="K15" s="24"/>
      <c r="L15" s="24"/>
      <c r="M15" s="24"/>
      <c r="N15" s="25">
        <f t="shared" si="0"/>
        <v>14946.698</v>
      </c>
      <c r="Q15" s="21"/>
      <c r="R15" s="42"/>
      <c r="S15" s="42"/>
      <c r="T15" s="42"/>
      <c r="U15" s="42"/>
      <c r="V15" s="42"/>
      <c r="W15" s="42"/>
      <c r="X15" s="42"/>
      <c r="Y15" s="42"/>
      <c r="AA15" s="42"/>
      <c r="AB15" s="42"/>
      <c r="AC15" s="42"/>
      <c r="AD15" s="42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T15" s="74"/>
      <c r="AU15" s="75" t="str">
        <f>A11</f>
        <v>CONSUMO DIRECTO DE CRUDO</v>
      </c>
      <c r="AV15" s="76">
        <f>HLOOKUP(MAXA(B4:M4),$B$4:$M$15,8,FALSE)</f>
        <v>0</v>
      </c>
      <c r="AW15" s="74"/>
      <c r="AY15" s="74"/>
    </row>
    <row r="16" spans="1:61" ht="16.5" customHeight="1" x14ac:dyDescent="0.2">
      <c r="A16" s="9" t="s">
        <v>14</v>
      </c>
      <c r="B16" s="3">
        <v>172.095</v>
      </c>
      <c r="C16" s="2">
        <v>187.18799999999999</v>
      </c>
      <c r="D16" s="2">
        <v>216.68299999999999</v>
      </c>
      <c r="E16" s="2"/>
      <c r="F16" s="2"/>
      <c r="G16" s="2"/>
      <c r="H16" s="2"/>
      <c r="I16" s="2"/>
      <c r="J16" s="2"/>
      <c r="K16" s="2"/>
      <c r="L16" s="2"/>
      <c r="M16" s="2"/>
      <c r="N16" s="4">
        <f t="shared" si="0"/>
        <v>575.96600000000001</v>
      </c>
    </row>
    <row r="17" spans="1:4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/>
      <c r="F17" s="2"/>
      <c r="G17" s="2"/>
      <c r="H17" s="2"/>
      <c r="I17" s="2"/>
      <c r="J17" s="2"/>
      <c r="K17" s="2"/>
      <c r="L17" s="2"/>
      <c r="M17" s="2"/>
      <c r="N17" s="4">
        <f t="shared" si="0"/>
        <v>0</v>
      </c>
      <c r="R17" s="38"/>
      <c r="S17" s="38"/>
      <c r="T17" s="38"/>
      <c r="U17" s="38"/>
      <c r="V17" s="38"/>
      <c r="W17" s="38"/>
      <c r="X17" s="38"/>
      <c r="Y17" s="38"/>
      <c r="AA17" s="38"/>
      <c r="AB17" s="38"/>
      <c r="AC17" s="38"/>
      <c r="AD17" s="38"/>
      <c r="AE17" s="38"/>
      <c r="AU17" s="79" t="str">
        <f>A16</f>
        <v>Gas Refinería</v>
      </c>
      <c r="AV17" s="80">
        <f>HLOOKUP(MAXA(B4:M4),$B$4:$M$49,13,FALSE)</f>
        <v>216.68299999999999</v>
      </c>
      <c r="AW17" s="80"/>
    </row>
    <row r="18" spans="1:49" ht="16.5" customHeight="1" x14ac:dyDescent="0.2">
      <c r="A18" s="9" t="s">
        <v>16</v>
      </c>
      <c r="B18" s="3">
        <v>103.541</v>
      </c>
      <c r="C18" s="2">
        <v>94.614000000000004</v>
      </c>
      <c r="D18" s="2">
        <v>96.242000000000004</v>
      </c>
      <c r="E18" s="2"/>
      <c r="F18" s="2"/>
      <c r="G18" s="2"/>
      <c r="H18" s="2"/>
      <c r="I18" s="2"/>
      <c r="J18" s="2"/>
      <c r="K18" s="2"/>
      <c r="L18" s="2"/>
      <c r="M18" s="2"/>
      <c r="N18" s="4">
        <f t="shared" si="0"/>
        <v>294.39699999999999</v>
      </c>
      <c r="AU18" s="79" t="str">
        <f t="shared" ref="AU18:AU50" si="1">A17</f>
        <v>Etano</v>
      </c>
      <c r="AV18" s="80">
        <f>HLOOKUP(MAXA(B4:M4),$B$4:$M$49,14,FALSE)</f>
        <v>0</v>
      </c>
      <c r="AW18" s="80"/>
    </row>
    <row r="19" spans="1:49" ht="16.5" customHeight="1" x14ac:dyDescent="0.2">
      <c r="A19" s="9" t="s">
        <v>17</v>
      </c>
      <c r="B19" s="3">
        <v>24.610000000000014</v>
      </c>
      <c r="C19" s="2">
        <v>0</v>
      </c>
      <c r="D19" s="2">
        <v>0</v>
      </c>
      <c r="E19" s="2"/>
      <c r="F19" s="2"/>
      <c r="G19" s="2"/>
      <c r="H19" s="2"/>
      <c r="I19" s="2"/>
      <c r="J19" s="2"/>
      <c r="K19" s="2"/>
      <c r="L19" s="2"/>
      <c r="M19" s="2"/>
      <c r="N19" s="4">
        <f t="shared" si="0"/>
        <v>24.610000000000014</v>
      </c>
      <c r="AU19" s="79" t="str">
        <f t="shared" si="1"/>
        <v>Butano</v>
      </c>
      <c r="AV19" s="80">
        <f>HLOOKUP(MAXA(B4:M4),$B$4:$M$49,15,FALSE)</f>
        <v>96.242000000000004</v>
      </c>
      <c r="AW19" s="80"/>
    </row>
    <row r="20" spans="1:49" ht="16.5" customHeight="1" x14ac:dyDescent="0.2">
      <c r="A20" s="9" t="s">
        <v>18</v>
      </c>
      <c r="B20" s="3">
        <v>158.80600000000001</v>
      </c>
      <c r="C20" s="2">
        <v>120.563</v>
      </c>
      <c r="D20" s="2">
        <v>132.67400000000001</v>
      </c>
      <c r="E20" s="2"/>
      <c r="F20" s="2"/>
      <c r="G20" s="2"/>
      <c r="H20" s="2"/>
      <c r="I20" s="2"/>
      <c r="J20" s="2"/>
      <c r="K20" s="2"/>
      <c r="L20" s="2"/>
      <c r="M20" s="2"/>
      <c r="N20" s="4">
        <f t="shared" si="0"/>
        <v>412.04300000000001</v>
      </c>
      <c r="AU20" s="79" t="str">
        <f t="shared" si="1"/>
        <v>Propano</v>
      </c>
      <c r="AV20" s="80">
        <f>HLOOKUP(MAXA(B4:M4),$B$4:$M$49,16,FALSE)</f>
        <v>0</v>
      </c>
      <c r="AW20" s="80"/>
    </row>
    <row r="21" spans="1:4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/>
      <c r="F21" s="2"/>
      <c r="G21" s="2"/>
      <c r="H21" s="2"/>
      <c r="I21" s="2"/>
      <c r="J21" s="2"/>
      <c r="K21" s="2"/>
      <c r="L21" s="2"/>
      <c r="M21" s="2"/>
      <c r="N21" s="4">
        <f t="shared" si="0"/>
        <v>0</v>
      </c>
      <c r="AU21" s="79" t="str">
        <f t="shared" si="1"/>
        <v>Nafta</v>
      </c>
      <c r="AV21" s="80">
        <f>HLOOKUP(MAXA(B4:M4),$B$4:$M$49,17,FALSE)</f>
        <v>132.67400000000001</v>
      </c>
      <c r="AW21" s="80"/>
    </row>
    <row r="22" spans="1:49" ht="16.5" customHeight="1" x14ac:dyDescent="0.2">
      <c r="A22" s="9" t="s">
        <v>20</v>
      </c>
      <c r="B22" s="3">
        <v>84.7</v>
      </c>
      <c r="C22" s="2">
        <v>85.424000000000007</v>
      </c>
      <c r="D22" s="2">
        <v>80.259</v>
      </c>
      <c r="E22" s="2"/>
      <c r="F22" s="2"/>
      <c r="G22" s="2"/>
      <c r="H22" s="2"/>
      <c r="I22" s="2"/>
      <c r="J22" s="2"/>
      <c r="K22" s="2"/>
      <c r="L22" s="2"/>
      <c r="M22" s="2"/>
      <c r="N22" s="4">
        <f t="shared" si="0"/>
        <v>250.38300000000004</v>
      </c>
      <c r="AU22" s="79" t="str">
        <f t="shared" si="1"/>
        <v>Gasolina 97 I.O.</v>
      </c>
      <c r="AV22" s="80">
        <f>HLOOKUP(MAXA(B4:M4),$B$4:$M$49,18,FALSE)</f>
        <v>0</v>
      </c>
      <c r="AW22" s="80"/>
    </row>
    <row r="23" spans="1:49" ht="16.5" customHeight="1" x14ac:dyDescent="0.2">
      <c r="A23" s="9" t="s">
        <v>21</v>
      </c>
      <c r="B23" s="3">
        <v>6.4459999999999997</v>
      </c>
      <c r="C23" s="2">
        <v>6.1920000000000002</v>
      </c>
      <c r="D23" s="2">
        <v>7.1070000000000002</v>
      </c>
      <c r="E23" s="2"/>
      <c r="F23" s="2"/>
      <c r="G23" s="2"/>
      <c r="H23" s="2"/>
      <c r="I23" s="2"/>
      <c r="J23" s="2"/>
      <c r="K23" s="2"/>
      <c r="L23" s="2"/>
      <c r="M23" s="2"/>
      <c r="N23" s="4">
        <f t="shared" si="0"/>
        <v>19.745000000000001</v>
      </c>
      <c r="AU23" s="79" t="str">
        <f t="shared" si="1"/>
        <v>Gasolina 95 I.O.</v>
      </c>
      <c r="AV23" s="80">
        <f>HLOOKUP(MAXA(B4:M4),$B$4:$M$49,19,FALSE)</f>
        <v>80.259</v>
      </c>
      <c r="AW23" s="80"/>
    </row>
    <row r="24" spans="1:4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/>
      <c r="F24" s="2"/>
      <c r="G24" s="2"/>
      <c r="H24" s="2"/>
      <c r="I24" s="2"/>
      <c r="J24" s="2"/>
      <c r="K24" s="2"/>
      <c r="L24" s="2"/>
      <c r="M24" s="2"/>
      <c r="N24" s="4">
        <f t="shared" si="0"/>
        <v>0</v>
      </c>
      <c r="AU24" s="79" t="str">
        <f t="shared" si="1"/>
        <v>Gasolina 98 I.O.</v>
      </c>
      <c r="AV24" s="80">
        <f>HLOOKUP(MAXA(B4:M4),$B$4:$M$49,20,FALSE)</f>
        <v>7.1070000000000002</v>
      </c>
      <c r="AW24" s="80"/>
    </row>
    <row r="25" spans="1:49" ht="16.5" customHeight="1" x14ac:dyDescent="0.2">
      <c r="A25" s="9" t="s">
        <v>23</v>
      </c>
      <c r="B25" s="3">
        <v>697.10399999999993</v>
      </c>
      <c r="C25" s="2">
        <v>638.01099999999997</v>
      </c>
      <c r="D25" s="2">
        <v>702.73799999999994</v>
      </c>
      <c r="E25" s="2"/>
      <c r="F25" s="2"/>
      <c r="G25" s="2"/>
      <c r="H25" s="2"/>
      <c r="I25" s="2"/>
      <c r="J25" s="2"/>
      <c r="K25" s="2"/>
      <c r="L25" s="2"/>
      <c r="M25" s="2"/>
      <c r="N25" s="4">
        <f t="shared" si="0"/>
        <v>2037.8529999999996</v>
      </c>
      <c r="AU25" s="79" t="str">
        <f t="shared" si="1"/>
        <v>Gasolina de Aviación</v>
      </c>
      <c r="AV25" s="80">
        <f>HLOOKUP(MAXA(B4:M4),$B$4:$M$49,21,FALSE)</f>
        <v>0</v>
      </c>
      <c r="AW25" s="80"/>
    </row>
    <row r="26" spans="1:4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/>
      <c r="F26" s="2"/>
      <c r="G26" s="2"/>
      <c r="H26" s="2"/>
      <c r="I26" s="2"/>
      <c r="J26" s="2"/>
      <c r="K26" s="2"/>
      <c r="L26" s="2"/>
      <c r="M26" s="2"/>
      <c r="N26" s="4">
        <f t="shared" si="0"/>
        <v>0</v>
      </c>
      <c r="AU26" s="79" t="str">
        <f t="shared" si="1"/>
        <v>Otras Gasolinas</v>
      </c>
      <c r="AV26" s="80">
        <f>HLOOKUP(MAXA(B4:M4),$B$4:$M$49,22,FALSE)</f>
        <v>702.73799999999994</v>
      </c>
      <c r="AW26" s="80"/>
    </row>
    <row r="27" spans="1:4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/>
      <c r="F27" s="2"/>
      <c r="G27" s="2"/>
      <c r="H27" s="2"/>
      <c r="I27" s="2"/>
      <c r="J27" s="2"/>
      <c r="K27" s="2"/>
      <c r="L27" s="2"/>
      <c r="M27" s="2"/>
      <c r="N27" s="4">
        <f t="shared" si="0"/>
        <v>0</v>
      </c>
      <c r="AU27" s="79" t="str">
        <f t="shared" si="1"/>
        <v>Bioetanol</v>
      </c>
      <c r="AV27" s="80">
        <f>HLOOKUP(MAXA(B4:M4),$B$4:$M$49,23,FALSE)</f>
        <v>0</v>
      </c>
      <c r="AW27" s="80"/>
    </row>
    <row r="28" spans="1:49" ht="16.5" customHeight="1" x14ac:dyDescent="0.2">
      <c r="A28" s="9" t="s">
        <v>26</v>
      </c>
      <c r="B28" s="3">
        <v>31.023</v>
      </c>
      <c r="C28" s="2">
        <v>37.520000000000003</v>
      </c>
      <c r="D28" s="2">
        <v>47.640999999999998</v>
      </c>
      <c r="E28" s="2"/>
      <c r="F28" s="2"/>
      <c r="G28" s="2"/>
      <c r="H28" s="2"/>
      <c r="I28" s="2"/>
      <c r="J28" s="2"/>
      <c r="K28" s="2"/>
      <c r="L28" s="2"/>
      <c r="M28" s="2"/>
      <c r="N28" s="4">
        <f t="shared" si="0"/>
        <v>116.184</v>
      </c>
      <c r="AU28" s="79" t="str">
        <f t="shared" si="1"/>
        <v>Gasolinas Mezcla</v>
      </c>
      <c r="AV28" s="80">
        <f>HLOOKUP(MAXA(B4:M4),$B$4:$M$49,24,FALSE)</f>
        <v>0</v>
      </c>
      <c r="AW28" s="80"/>
    </row>
    <row r="29" spans="1:49" ht="33" customHeight="1" x14ac:dyDescent="0.2">
      <c r="A29" s="9" t="s">
        <v>27</v>
      </c>
      <c r="B29" s="3">
        <v>0</v>
      </c>
      <c r="C29" s="2">
        <v>0</v>
      </c>
      <c r="D29" s="2">
        <v>0</v>
      </c>
      <c r="E29" s="2"/>
      <c r="F29" s="2"/>
      <c r="G29" s="2"/>
      <c r="H29" s="2"/>
      <c r="I29" s="2"/>
      <c r="J29" s="2"/>
      <c r="K29" s="2"/>
      <c r="L29" s="2"/>
      <c r="M29" s="2"/>
      <c r="N29" s="4">
        <f t="shared" si="0"/>
        <v>0</v>
      </c>
      <c r="AU29" s="79" t="str">
        <f t="shared" si="1"/>
        <v>Queroseno aviac. Jet A1</v>
      </c>
      <c r="AV29" s="80">
        <f>HLOOKUP(MAXA(B4:M4),$B$4:$M$49,25,FALSE)</f>
        <v>47.640999999999998</v>
      </c>
      <c r="AW29" s="80"/>
    </row>
    <row r="30" spans="1:49" ht="21.75" customHeight="1" x14ac:dyDescent="0.2">
      <c r="A30" s="9" t="s">
        <v>28</v>
      </c>
      <c r="B30" s="3">
        <v>801.43600000000004</v>
      </c>
      <c r="C30" s="2">
        <v>678.79300000000001</v>
      </c>
      <c r="D30" s="2">
        <v>805.83</v>
      </c>
      <c r="E30" s="2"/>
      <c r="F30" s="2"/>
      <c r="G30" s="2"/>
      <c r="H30" s="2"/>
      <c r="I30" s="2"/>
      <c r="J30" s="2"/>
      <c r="K30" s="2"/>
      <c r="L30" s="2"/>
      <c r="M30" s="2"/>
      <c r="N30" s="4">
        <f t="shared" si="0"/>
        <v>2286.0590000000002</v>
      </c>
      <c r="AU30" s="79" t="str">
        <f t="shared" si="1"/>
        <v>Queroseno aviac. Jet A2</v>
      </c>
      <c r="AV30" s="80">
        <f>HLOOKUP(MAXA(B4:M4),$B$4:$M$49,26,FALSE)</f>
        <v>0</v>
      </c>
      <c r="AW30" s="80"/>
    </row>
    <row r="31" spans="1:4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/>
      <c r="F31" s="2"/>
      <c r="G31" s="2"/>
      <c r="H31" s="2"/>
      <c r="I31" s="2"/>
      <c r="J31" s="2"/>
      <c r="K31" s="2"/>
      <c r="L31" s="2"/>
      <c r="M31" s="2"/>
      <c r="N31" s="4">
        <f t="shared" si="0"/>
        <v>0</v>
      </c>
      <c r="AU31" s="79" t="str">
        <f t="shared" si="1"/>
        <v>Otros Querosenos</v>
      </c>
      <c r="AV31" s="80">
        <f>HLOOKUP(MAXA(B4:M4),$B$4:$M$49,27,FALSE)</f>
        <v>805.83</v>
      </c>
      <c r="AW31" s="80"/>
    </row>
    <row r="32" spans="1:49" ht="16.5" customHeight="1" x14ac:dyDescent="0.2">
      <c r="A32" s="9" t="s">
        <v>30</v>
      </c>
      <c r="B32" s="3">
        <v>266.14400000000001</v>
      </c>
      <c r="C32" s="2">
        <v>217.99199999999999</v>
      </c>
      <c r="D32" s="2">
        <v>275.00900000000001</v>
      </c>
      <c r="E32" s="2"/>
      <c r="F32" s="2"/>
      <c r="G32" s="2"/>
      <c r="H32" s="2"/>
      <c r="I32" s="2"/>
      <c r="J32" s="2"/>
      <c r="K32" s="2"/>
      <c r="L32" s="2"/>
      <c r="M32" s="2"/>
      <c r="N32" s="4">
        <f t="shared" si="0"/>
        <v>759.14499999999998</v>
      </c>
      <c r="AU32" s="79" t="str">
        <f t="shared" si="1"/>
        <v>Gasóleo A</v>
      </c>
      <c r="AV32" s="80">
        <f>HLOOKUP(MAXA(B4:M4),$B$4:$M$49,28,FALSE)</f>
        <v>0</v>
      </c>
      <c r="AW32" s="80"/>
    </row>
    <row r="33" spans="1:49" ht="16.5" customHeight="1" x14ac:dyDescent="0.2">
      <c r="A33" s="9" t="s">
        <v>31</v>
      </c>
      <c r="B33" s="3">
        <v>16.056999999999999</v>
      </c>
      <c r="C33" s="2">
        <v>43.819000000000003</v>
      </c>
      <c r="D33" s="2">
        <v>20.041</v>
      </c>
      <c r="E33" s="2"/>
      <c r="F33" s="2"/>
      <c r="G33" s="2"/>
      <c r="H33" s="2"/>
      <c r="I33" s="2"/>
      <c r="J33" s="2"/>
      <c r="K33" s="2"/>
      <c r="L33" s="2"/>
      <c r="M33" s="2"/>
      <c r="N33" s="4">
        <f t="shared" si="0"/>
        <v>79.917000000000002</v>
      </c>
      <c r="AU33" s="79" t="str">
        <f t="shared" si="1"/>
        <v>Gasóleo A 10 PPM</v>
      </c>
      <c r="AV33" s="80">
        <f>HLOOKUP(MAXA(B4:M4),$B$4:$M$49,29,FALSE)</f>
        <v>275.00900000000001</v>
      </c>
      <c r="AW33" s="80"/>
    </row>
    <row r="34" spans="1:49" ht="16.5" customHeight="1" x14ac:dyDescent="0.2">
      <c r="A34" s="9" t="s">
        <v>32</v>
      </c>
      <c r="B34" s="3">
        <v>11.744999999999999</v>
      </c>
      <c r="C34" s="2">
        <v>10.614000000000001</v>
      </c>
      <c r="D34" s="2">
        <v>11.478999999999999</v>
      </c>
      <c r="E34" s="2"/>
      <c r="F34" s="2"/>
      <c r="G34" s="2"/>
      <c r="H34" s="2"/>
      <c r="I34" s="2"/>
      <c r="J34" s="2"/>
      <c r="K34" s="2"/>
      <c r="L34" s="2"/>
      <c r="M34" s="2"/>
      <c r="N34" s="4">
        <f t="shared" si="0"/>
        <v>33.838000000000001</v>
      </c>
      <c r="AU34" s="79" t="str">
        <f t="shared" si="1"/>
        <v>Gasóleo B</v>
      </c>
      <c r="AV34" s="80">
        <f>HLOOKUP(MAXA(B4:M4),$B$4:$M$49,30,FALSE)</f>
        <v>20.041</v>
      </c>
      <c r="AW34" s="80"/>
    </row>
    <row r="35" spans="1:49" ht="16.5" customHeight="1" x14ac:dyDescent="0.2">
      <c r="A35" s="9" t="s">
        <v>33</v>
      </c>
      <c r="B35" s="3">
        <v>69.126999999999995</v>
      </c>
      <c r="C35" s="2">
        <v>61.704000000000001</v>
      </c>
      <c r="D35" s="2">
        <v>64.162000000000006</v>
      </c>
      <c r="E35" s="2"/>
      <c r="F35" s="2"/>
      <c r="G35" s="2"/>
      <c r="H35" s="2"/>
      <c r="I35" s="2"/>
      <c r="J35" s="2"/>
      <c r="K35" s="2"/>
      <c r="L35" s="2"/>
      <c r="M35" s="2"/>
      <c r="N35" s="4">
        <f t="shared" si="0"/>
        <v>194.99299999999999</v>
      </c>
      <c r="AU35" s="79" t="str">
        <f t="shared" si="1"/>
        <v>Gasóleo C</v>
      </c>
      <c r="AV35" s="80">
        <f>HLOOKUP(MAXA(B4:M4),$B$4:$M$49,31,FALSE)</f>
        <v>11.478999999999999</v>
      </c>
      <c r="AW35" s="80"/>
    </row>
    <row r="36" spans="1:49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/>
      <c r="F36" s="2"/>
      <c r="G36" s="2"/>
      <c r="H36" s="2"/>
      <c r="I36" s="2"/>
      <c r="J36" s="2"/>
      <c r="K36" s="2"/>
      <c r="L36" s="2"/>
      <c r="M36" s="2"/>
      <c r="N36" s="4">
        <f t="shared" si="0"/>
        <v>0</v>
      </c>
      <c r="AU36" s="79" t="str">
        <f t="shared" si="1"/>
        <v>Gasóleo para uso marítimo</v>
      </c>
      <c r="AV36" s="80">
        <f>HLOOKUP(MAXA(B4:M4),$B$4:$M$49,32,FALSE)</f>
        <v>64.162000000000006</v>
      </c>
      <c r="AW36" s="80"/>
    </row>
    <row r="37" spans="1:49" ht="16.5" customHeight="1" x14ac:dyDescent="0.2">
      <c r="A37" s="9" t="s">
        <v>35</v>
      </c>
      <c r="B37" s="3">
        <v>1625.5330000000001</v>
      </c>
      <c r="C37" s="2">
        <v>1564.296</v>
      </c>
      <c r="D37" s="2">
        <v>1698.4470000000001</v>
      </c>
      <c r="E37" s="2"/>
      <c r="F37" s="2"/>
      <c r="G37" s="2"/>
      <c r="H37" s="2"/>
      <c r="I37" s="2"/>
      <c r="J37" s="2"/>
      <c r="K37" s="2"/>
      <c r="L37" s="2"/>
      <c r="M37" s="2"/>
      <c r="N37" s="4">
        <f t="shared" si="0"/>
        <v>4888.2759999999998</v>
      </c>
      <c r="AU37" s="79" t="str">
        <f t="shared" si="1"/>
        <v>Diésel para uso marítimo</v>
      </c>
      <c r="AV37" s="80">
        <f>HLOOKUP(MAXA(B4:M4),$B$4:$M$49,33,FALSE)</f>
        <v>0</v>
      </c>
      <c r="AW37" s="80"/>
    </row>
    <row r="38" spans="1:49" ht="16.5" customHeight="1" x14ac:dyDescent="0.2">
      <c r="A38" s="9" t="s">
        <v>36</v>
      </c>
      <c r="B38" s="3">
        <v>27.832000000000001</v>
      </c>
      <c r="C38" s="2">
        <v>31.614999999999998</v>
      </c>
      <c r="D38" s="2">
        <v>33.893999999999998</v>
      </c>
      <c r="E38" s="2"/>
      <c r="F38" s="2"/>
      <c r="G38" s="2"/>
      <c r="H38" s="2"/>
      <c r="I38" s="2"/>
      <c r="J38" s="2"/>
      <c r="K38" s="2"/>
      <c r="L38" s="2"/>
      <c r="M38" s="2"/>
      <c r="N38" s="4">
        <f t="shared" si="0"/>
        <v>93.341000000000008</v>
      </c>
      <c r="AU38" s="79" t="str">
        <f t="shared" si="1"/>
        <v>Otros Gasóleos</v>
      </c>
      <c r="AV38" s="80">
        <f>HLOOKUP(MAXA(B4:M4),$B$4:$M$49,34,FALSE)</f>
        <v>1698.4470000000001</v>
      </c>
      <c r="AW38" s="80"/>
    </row>
    <row r="39" spans="1:49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/>
      <c r="F39" s="2"/>
      <c r="G39" s="2"/>
      <c r="H39" s="2"/>
      <c r="I39" s="2"/>
      <c r="J39" s="2"/>
      <c r="K39" s="2"/>
      <c r="L39" s="2"/>
      <c r="M39" s="2"/>
      <c r="N39" s="4">
        <f t="shared" si="0"/>
        <v>0</v>
      </c>
      <c r="AU39" s="79" t="str">
        <f t="shared" si="1"/>
        <v>Biodiesel</v>
      </c>
      <c r="AV39" s="80">
        <f>HLOOKUP(MAXA(B4:M4),$B$4:$M$49,35,FALSE)</f>
        <v>33.893999999999998</v>
      </c>
      <c r="AW39" s="80"/>
    </row>
    <row r="40" spans="1:49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/>
      <c r="F40" s="2"/>
      <c r="G40" s="2"/>
      <c r="H40" s="2"/>
      <c r="I40" s="2"/>
      <c r="J40" s="2"/>
      <c r="K40" s="2"/>
      <c r="L40" s="2"/>
      <c r="M40" s="2"/>
      <c r="N40" s="4">
        <f t="shared" si="0"/>
        <v>0</v>
      </c>
      <c r="AU40" s="79" t="str">
        <f t="shared" si="1"/>
        <v>Biodiesel Mezcla</v>
      </c>
      <c r="AV40" s="80">
        <f>HLOOKUP(MAXA(B4:M4),$B$4:$M$49,36,FALSE)</f>
        <v>0</v>
      </c>
      <c r="AW40" s="80"/>
    </row>
    <row r="41" spans="1:49" ht="16.5" customHeight="1" x14ac:dyDescent="0.2">
      <c r="A41" s="9" t="s">
        <v>39</v>
      </c>
      <c r="B41" s="3">
        <v>0</v>
      </c>
      <c r="C41" s="2">
        <v>0</v>
      </c>
      <c r="D41" s="2">
        <v>8.0000000000000002E-3</v>
      </c>
      <c r="E41" s="2"/>
      <c r="F41" s="2"/>
      <c r="G41" s="2"/>
      <c r="H41" s="2"/>
      <c r="I41" s="2"/>
      <c r="J41" s="2"/>
      <c r="K41" s="2"/>
      <c r="L41" s="2"/>
      <c r="M41" s="2"/>
      <c r="N41" s="4">
        <f t="shared" si="0"/>
        <v>8.0000000000000002E-3</v>
      </c>
      <c r="AU41" s="79" t="str">
        <f t="shared" si="1"/>
        <v>Fuelóleo BIA</v>
      </c>
      <c r="AV41" s="80">
        <f>HLOOKUP(MAXA(B4:M4),$B$4:$M$49,37,FALSE)</f>
        <v>0</v>
      </c>
      <c r="AW41" s="80"/>
    </row>
    <row r="42" spans="1:49" ht="16.5" customHeight="1" x14ac:dyDescent="0.2">
      <c r="A42" s="9" t="s">
        <v>60</v>
      </c>
      <c r="B42" s="3">
        <v>0</v>
      </c>
      <c r="C42" s="2">
        <v>0</v>
      </c>
      <c r="D42" s="2">
        <v>0</v>
      </c>
      <c r="E42" s="2"/>
      <c r="F42" s="2"/>
      <c r="G42" s="2"/>
      <c r="H42" s="2"/>
      <c r="I42" s="2"/>
      <c r="J42" s="2"/>
      <c r="K42" s="2"/>
      <c r="L42" s="2"/>
      <c r="M42" s="2"/>
      <c r="N42" s="4">
        <f t="shared" si="0"/>
        <v>0</v>
      </c>
      <c r="AU42" s="79" t="str">
        <f t="shared" si="1"/>
        <v>Fuelóleo de refineria</v>
      </c>
      <c r="AV42" s="80">
        <f>HLOOKUP(MAXA(B4:M4),$B$4:$M$49,38,FALSE)</f>
        <v>8.0000000000000002E-3</v>
      </c>
      <c r="AW42" s="80"/>
    </row>
    <row r="43" spans="1:49" ht="16.5" customHeight="1" x14ac:dyDescent="0.2">
      <c r="A43" s="9" t="s">
        <v>40</v>
      </c>
      <c r="B43" s="3">
        <v>352.94900000000001</v>
      </c>
      <c r="C43" s="2">
        <v>324.98</v>
      </c>
      <c r="D43" s="2">
        <v>220.25399999999999</v>
      </c>
      <c r="E43" s="2"/>
      <c r="F43" s="2"/>
      <c r="G43" s="2"/>
      <c r="H43" s="2"/>
      <c r="I43" s="2"/>
      <c r="J43" s="2"/>
      <c r="K43" s="2"/>
      <c r="L43" s="2"/>
      <c r="M43" s="2"/>
      <c r="N43" s="4">
        <f t="shared" si="0"/>
        <v>898.18300000000011</v>
      </c>
      <c r="AU43" s="79" t="str">
        <f t="shared" si="1"/>
        <v>Otros combustibles para uso marítimo</v>
      </c>
      <c r="AV43" s="80">
        <f>HLOOKUP(MAXA(B4:M4),$B$4:$M$49,39,FALSE)</f>
        <v>0</v>
      </c>
      <c r="AW43" s="80"/>
    </row>
    <row r="44" spans="1:49" ht="16.5" customHeight="1" x14ac:dyDescent="0.2">
      <c r="A44" s="9" t="s">
        <v>41</v>
      </c>
      <c r="B44" s="3">
        <v>25.298999999999999</v>
      </c>
      <c r="C44" s="2">
        <v>20.347000000000001</v>
      </c>
      <c r="D44" s="2">
        <v>23.401</v>
      </c>
      <c r="E44" s="2"/>
      <c r="F44" s="2"/>
      <c r="G44" s="2"/>
      <c r="H44" s="2"/>
      <c r="I44" s="2"/>
      <c r="J44" s="2"/>
      <c r="K44" s="2"/>
      <c r="L44" s="2"/>
      <c r="M44" s="2"/>
      <c r="N44" s="4">
        <f t="shared" si="0"/>
        <v>69.046999999999997</v>
      </c>
      <c r="AU44" s="79" t="str">
        <f t="shared" si="1"/>
        <v>Otros Fuelóleos</v>
      </c>
      <c r="AV44" s="80">
        <f>HLOOKUP(MAXA(B4:M4),$B$4:$M$49,40,FALSE)</f>
        <v>220.25399999999999</v>
      </c>
      <c r="AW44" s="80"/>
    </row>
    <row r="45" spans="1:49" ht="16.5" customHeight="1" x14ac:dyDescent="0.2">
      <c r="A45" s="9" t="s">
        <v>42</v>
      </c>
      <c r="B45" s="3">
        <v>116.541</v>
      </c>
      <c r="C45" s="2">
        <v>119.774</v>
      </c>
      <c r="D45" s="2">
        <v>101.82599999999999</v>
      </c>
      <c r="E45" s="2"/>
      <c r="F45" s="2"/>
      <c r="G45" s="2"/>
      <c r="H45" s="2"/>
      <c r="I45" s="2"/>
      <c r="J45" s="2"/>
      <c r="K45" s="2"/>
      <c r="L45" s="2"/>
      <c r="M45" s="2"/>
      <c r="N45" s="4">
        <f t="shared" si="0"/>
        <v>338.14099999999996</v>
      </c>
      <c r="AU45" s="79" t="str">
        <f t="shared" si="1"/>
        <v>Aceites y bases lubricantes</v>
      </c>
      <c r="AV45" s="80">
        <f>HLOOKUP(MAXA(B4:M4),$B$4:$M$49,41,FALSE)</f>
        <v>23.401</v>
      </c>
      <c r="AW45" s="80"/>
    </row>
    <row r="46" spans="1:49" ht="16.5" customHeight="1" x14ac:dyDescent="0.2">
      <c r="A46" s="9" t="s">
        <v>43</v>
      </c>
      <c r="B46" s="3">
        <v>10.762</v>
      </c>
      <c r="C46" s="2">
        <v>9.2319999999999993</v>
      </c>
      <c r="D46" s="2">
        <v>11.792999999999999</v>
      </c>
      <c r="E46" s="2"/>
      <c r="F46" s="2"/>
      <c r="G46" s="2"/>
      <c r="H46" s="2"/>
      <c r="I46" s="2"/>
      <c r="J46" s="2"/>
      <c r="K46" s="2"/>
      <c r="L46" s="2"/>
      <c r="M46" s="2"/>
      <c r="N46" s="4">
        <f t="shared" si="0"/>
        <v>31.786999999999999</v>
      </c>
      <c r="AU46" s="79" t="str">
        <f t="shared" si="1"/>
        <v>Productos asfálticos</v>
      </c>
      <c r="AV46" s="80">
        <f>HLOOKUP(MAXA(B4:M4),$B$4:$M$49,42,FALSE)</f>
        <v>101.82599999999999</v>
      </c>
      <c r="AW46" s="80"/>
    </row>
    <row r="47" spans="1:49" ht="16.5" customHeight="1" x14ac:dyDescent="0.2">
      <c r="A47" s="9" t="s">
        <v>44</v>
      </c>
      <c r="B47" s="3">
        <v>5.4790000000000001</v>
      </c>
      <c r="C47" s="2">
        <v>5.742</v>
      </c>
      <c r="D47" s="2">
        <v>5.3330000000000002</v>
      </c>
      <c r="E47" s="2"/>
      <c r="F47" s="2"/>
      <c r="G47" s="2"/>
      <c r="H47" s="2"/>
      <c r="I47" s="2"/>
      <c r="J47" s="2"/>
      <c r="K47" s="2"/>
      <c r="L47" s="2"/>
      <c r="M47" s="2"/>
      <c r="N47" s="4">
        <f t="shared" si="0"/>
        <v>16.554000000000002</v>
      </c>
      <c r="AU47" s="79" t="str">
        <f t="shared" si="1"/>
        <v>Disolventes</v>
      </c>
      <c r="AV47" s="80">
        <f>HLOOKUP(MAXA(B4:M4),$B$4:$M$49,43,FALSE)</f>
        <v>11.792999999999999</v>
      </c>
      <c r="AW47" s="80"/>
    </row>
    <row r="48" spans="1:49" ht="16.5" customHeight="1" x14ac:dyDescent="0.2">
      <c r="A48" s="9" t="s">
        <v>45</v>
      </c>
      <c r="B48" s="3">
        <v>260.82100000000003</v>
      </c>
      <c r="C48" s="2">
        <v>249.82400000000001</v>
      </c>
      <c r="D48" s="2">
        <v>293.46100000000001</v>
      </c>
      <c r="E48" s="2"/>
      <c r="F48" s="2"/>
      <c r="G48" s="2"/>
      <c r="H48" s="2"/>
      <c r="I48" s="2"/>
      <c r="J48" s="2"/>
      <c r="K48" s="2"/>
      <c r="L48" s="2"/>
      <c r="M48" s="2"/>
      <c r="N48" s="4">
        <f t="shared" si="0"/>
        <v>804.10599999999999</v>
      </c>
      <c r="AU48" s="79" t="str">
        <f t="shared" si="1"/>
        <v>Parafinas</v>
      </c>
      <c r="AV48" s="80">
        <f>HLOOKUP(MAXA(B4:M4),$B$4:$M$49,44,FALSE)</f>
        <v>5.3330000000000002</v>
      </c>
      <c r="AW48" s="80"/>
    </row>
    <row r="49" spans="1:49" ht="18" customHeight="1" x14ac:dyDescent="0.2">
      <c r="A49" s="10" t="s">
        <v>52</v>
      </c>
      <c r="B49" s="7">
        <v>280.41699999999946</v>
      </c>
      <c r="C49" s="5">
        <v>186.78799999999956</v>
      </c>
      <c r="D49" s="5">
        <v>254.91700000000128</v>
      </c>
      <c r="E49" s="5"/>
      <c r="F49" s="5"/>
      <c r="G49" s="5"/>
      <c r="H49" s="5"/>
      <c r="I49" s="5"/>
      <c r="J49" s="5"/>
      <c r="K49" s="5"/>
      <c r="L49" s="5"/>
      <c r="M49" s="5"/>
      <c r="N49" s="6">
        <f t="shared" si="0"/>
        <v>722.1220000000003</v>
      </c>
      <c r="AU49" s="79" t="str">
        <f t="shared" si="1"/>
        <v>Coque de petróleo</v>
      </c>
      <c r="AV49" s="80">
        <f>HLOOKUP(MAXA(B4:M4),$B$4:$M$49,45,FALSE)</f>
        <v>293.46100000000001</v>
      </c>
      <c r="AW49" s="80"/>
    </row>
    <row r="50" spans="1:49" x14ac:dyDescent="0.2">
      <c r="F50" s="41"/>
      <c r="AU50" s="79" t="str">
        <f t="shared" si="1"/>
        <v>Otros Productos</v>
      </c>
      <c r="AV50" s="80">
        <f>HLOOKUP(MAXA(B4:M4),$B$4:$M$49,46,FALSE)</f>
        <v>254.91700000000128</v>
      </c>
      <c r="AW50" s="80"/>
    </row>
    <row r="51" spans="1:49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49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49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49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49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49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49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49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49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49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49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49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49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  <c r="AR63" s="71"/>
    </row>
    <row r="64" spans="1:49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94488188976377951" bottom="0.55118110236220474" header="0.31496062992125984" footer="0.31496062992125984"/>
  <pageSetup paperSize="9" scale="6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AV46"/>
  <sheetViews>
    <sheetView showGridLines="0" zoomScale="70" zoomScaleNormal="70" workbookViewId="0"/>
  </sheetViews>
  <sheetFormatPr baseColWidth="10" defaultRowHeight="14.25" x14ac:dyDescent="0.2"/>
  <cols>
    <col min="1" max="1" width="69" style="59" customWidth="1"/>
    <col min="2" max="11" width="11" style="59" customWidth="1"/>
    <col min="12" max="12" width="11" style="69" customWidth="1"/>
    <col min="13" max="13" width="11" style="59" customWidth="1"/>
    <col min="14" max="44" width="11" style="59"/>
    <col min="45" max="45" width="9.375" style="59" customWidth="1"/>
    <col min="46" max="47" width="11" style="59"/>
    <col min="48" max="48" width="11" style="89"/>
    <col min="49" max="16384" width="11" style="59"/>
  </cols>
  <sheetData>
    <row r="1" spans="1:15" ht="15" x14ac:dyDescent="0.25">
      <c r="A1" s="57" t="s">
        <v>13</v>
      </c>
      <c r="B1" s="58">
        <v>2013</v>
      </c>
      <c r="C1" s="58">
        <v>2014</v>
      </c>
      <c r="D1" s="58">
        <v>2015</v>
      </c>
      <c r="E1" s="58">
        <v>2016</v>
      </c>
      <c r="F1" s="58">
        <v>2017</v>
      </c>
      <c r="G1" s="58">
        <v>2018</v>
      </c>
      <c r="H1" s="58">
        <v>2019</v>
      </c>
      <c r="I1" s="58">
        <v>2020</v>
      </c>
      <c r="J1" s="58">
        <v>2021</v>
      </c>
      <c r="K1" s="58">
        <v>2022</v>
      </c>
      <c r="L1" s="58">
        <v>2023</v>
      </c>
      <c r="M1" s="58">
        <v>2024</v>
      </c>
    </row>
    <row r="2" spans="1:15" ht="15" x14ac:dyDescent="0.2">
      <c r="A2" s="60" t="s">
        <v>0</v>
      </c>
      <c r="B2" s="61">
        <v>368.34000000000003</v>
      </c>
      <c r="C2" s="62">
        <v>305.411</v>
      </c>
      <c r="D2" s="62">
        <v>232.244</v>
      </c>
      <c r="E2" s="63">
        <v>140.89499999999998</v>
      </c>
      <c r="F2" s="63">
        <v>120.10500000000002</v>
      </c>
      <c r="G2" s="63">
        <v>86.990999999999985</v>
      </c>
      <c r="H2" s="63">
        <v>40.245000000000005</v>
      </c>
      <c r="I2" s="63">
        <v>27.536000000000001</v>
      </c>
      <c r="J2" s="63">
        <v>5.8159999999999998</v>
      </c>
      <c r="K2" s="63">
        <v>0.91199999999999992</v>
      </c>
      <c r="L2" s="64">
        <v>0.67200000000000004</v>
      </c>
      <c r="M2" s="64">
        <v>0.59899999999999998</v>
      </c>
      <c r="N2" s="69"/>
      <c r="O2" s="69"/>
    </row>
    <row r="3" spans="1:15" ht="15.75" x14ac:dyDescent="0.2">
      <c r="A3" s="65" t="s">
        <v>1</v>
      </c>
      <c r="B3" s="61">
        <v>57871</v>
      </c>
      <c r="C3" s="62">
        <v>59054</v>
      </c>
      <c r="D3" s="62">
        <v>64726</v>
      </c>
      <c r="E3" s="63">
        <v>64171</v>
      </c>
      <c r="F3" s="63">
        <v>65958</v>
      </c>
      <c r="G3" s="63">
        <v>67586</v>
      </c>
      <c r="H3" s="63">
        <v>66319</v>
      </c>
      <c r="I3" s="63">
        <v>54852</v>
      </c>
      <c r="J3" s="63">
        <v>56171.787000000004</v>
      </c>
      <c r="K3" s="63">
        <v>63595.529000000002</v>
      </c>
      <c r="L3" s="64">
        <v>61558.654000000002</v>
      </c>
      <c r="M3" s="64">
        <v>64588.152999999998</v>
      </c>
      <c r="N3" s="69"/>
      <c r="O3" s="69"/>
    </row>
    <row r="4" spans="1:15" ht="15" x14ac:dyDescent="0.2">
      <c r="A4" s="66" t="s">
        <v>2</v>
      </c>
      <c r="B4" s="61">
        <v>1965</v>
      </c>
      <c r="C4" s="62">
        <v>1633</v>
      </c>
      <c r="D4" s="62">
        <v>181</v>
      </c>
      <c r="E4" s="63">
        <v>-422</v>
      </c>
      <c r="F4" s="63">
        <v>-733</v>
      </c>
      <c r="G4" s="63">
        <v>-391</v>
      </c>
      <c r="H4" s="63">
        <v>-118</v>
      </c>
      <c r="I4" s="63">
        <v>544</v>
      </c>
      <c r="J4" s="63">
        <v>1778.8929999999973</v>
      </c>
      <c r="K4" s="63">
        <v>-475.32299999999941</v>
      </c>
      <c r="L4" s="64">
        <v>-346.42199999999957</v>
      </c>
      <c r="M4" s="64">
        <v>111.55200000000059</v>
      </c>
      <c r="N4" s="69"/>
      <c r="O4" s="69"/>
    </row>
    <row r="5" spans="1:15" ht="15" x14ac:dyDescent="0.2">
      <c r="A5" s="66" t="s">
        <v>3</v>
      </c>
      <c r="B5" s="61">
        <v>85</v>
      </c>
      <c r="C5" s="62">
        <v>330</v>
      </c>
      <c r="D5" s="62">
        <v>-73</v>
      </c>
      <c r="E5" s="63">
        <v>-676</v>
      </c>
      <c r="F5" s="63">
        <v>40</v>
      </c>
      <c r="G5" s="63">
        <v>-220</v>
      </c>
      <c r="H5" s="63">
        <v>695</v>
      </c>
      <c r="I5" s="63">
        <v>-271</v>
      </c>
      <c r="J5" s="63">
        <v>-744.52100000000007</v>
      </c>
      <c r="K5" s="63">
        <v>202.49099999999999</v>
      </c>
      <c r="L5" s="64">
        <v>-326.49300000000005</v>
      </c>
      <c r="M5" s="64">
        <v>252.315</v>
      </c>
      <c r="N5" s="69"/>
      <c r="O5" s="69"/>
    </row>
    <row r="6" spans="1:15" ht="15" x14ac:dyDescent="0.2">
      <c r="A6" s="66" t="s">
        <v>4</v>
      </c>
      <c r="B6" s="61">
        <v>-132</v>
      </c>
      <c r="C6" s="62">
        <v>-1</v>
      </c>
      <c r="D6" s="62">
        <v>-62</v>
      </c>
      <c r="E6" s="63">
        <v>193</v>
      </c>
      <c r="F6" s="63">
        <v>-164</v>
      </c>
      <c r="G6" s="63">
        <v>-89</v>
      </c>
      <c r="H6" s="63">
        <v>235</v>
      </c>
      <c r="I6" s="63">
        <v>-395</v>
      </c>
      <c r="J6" s="63">
        <v>-75.290999999999912</v>
      </c>
      <c r="K6" s="63">
        <v>144.61299999999994</v>
      </c>
      <c r="L6" s="64">
        <v>-25.735999999999933</v>
      </c>
      <c r="M6" s="64">
        <v>-28.793000000000092</v>
      </c>
      <c r="N6" s="69"/>
      <c r="O6" s="69"/>
    </row>
    <row r="7" spans="1:15" ht="15" x14ac:dyDescent="0.2">
      <c r="A7" s="66" t="s">
        <v>5</v>
      </c>
      <c r="B7" s="61">
        <v>800</v>
      </c>
      <c r="C7" s="62">
        <v>513</v>
      </c>
      <c r="D7" s="62">
        <v>389</v>
      </c>
      <c r="E7" s="63">
        <v>1323</v>
      </c>
      <c r="F7" s="63">
        <v>1356</v>
      </c>
      <c r="G7" s="63">
        <v>1126</v>
      </c>
      <c r="H7" s="63">
        <v>1244</v>
      </c>
      <c r="I7" s="63">
        <v>525</v>
      </c>
      <c r="J7" s="63">
        <v>271</v>
      </c>
      <c r="K7" s="63">
        <v>1018.2149999999999</v>
      </c>
      <c r="L7" s="64">
        <v>899.87900000000002</v>
      </c>
      <c r="M7" s="64">
        <v>537.47199999999998</v>
      </c>
      <c r="N7" s="69"/>
      <c r="O7" s="69"/>
    </row>
    <row r="8" spans="1:15" ht="15" x14ac:dyDescent="0.2">
      <c r="A8" s="66" t="s">
        <v>6</v>
      </c>
      <c r="B8" s="61">
        <v>12</v>
      </c>
      <c r="C8" s="62">
        <v>7</v>
      </c>
      <c r="D8" s="62">
        <v>0</v>
      </c>
      <c r="E8" s="63">
        <v>0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4">
        <v>0</v>
      </c>
      <c r="M8" s="64">
        <v>0</v>
      </c>
      <c r="N8" s="69"/>
      <c r="O8" s="69"/>
    </row>
    <row r="9" spans="1:15" ht="15.75" x14ac:dyDescent="0.2">
      <c r="A9" s="65" t="s">
        <v>7</v>
      </c>
      <c r="B9" s="61">
        <v>61039.340000000004</v>
      </c>
      <c r="C9" s="62">
        <v>61169.411</v>
      </c>
      <c r="D9" s="62">
        <v>65663.244000000006</v>
      </c>
      <c r="E9" s="63">
        <v>65695.89499999999</v>
      </c>
      <c r="F9" s="63">
        <v>66825</v>
      </c>
      <c r="G9" s="63">
        <v>68718</v>
      </c>
      <c r="H9" s="63">
        <v>66555.244999999995</v>
      </c>
      <c r="I9" s="63">
        <v>56614.535999999993</v>
      </c>
      <c r="J9" s="63">
        <v>59047.308000000005</v>
      </c>
      <c r="K9" s="63">
        <v>63792.228999999999</v>
      </c>
      <c r="L9" s="64">
        <v>62465.011999999995</v>
      </c>
      <c r="M9" s="64">
        <v>65014.254000000001</v>
      </c>
      <c r="N9" s="69"/>
      <c r="O9" s="69"/>
    </row>
    <row r="10" spans="1:15" ht="15" x14ac:dyDescent="0.2">
      <c r="A10" s="66" t="s">
        <v>12</v>
      </c>
      <c r="B10" s="61">
        <v>58143</v>
      </c>
      <c r="C10" s="62">
        <v>59022</v>
      </c>
      <c r="D10" s="62">
        <v>65031</v>
      </c>
      <c r="E10" s="63">
        <v>64988</v>
      </c>
      <c r="F10" s="63">
        <v>66038</v>
      </c>
      <c r="G10" s="63">
        <v>67894</v>
      </c>
      <c r="H10" s="63">
        <v>65648</v>
      </c>
      <c r="I10" s="63">
        <v>55153</v>
      </c>
      <c r="J10" s="63">
        <v>56922.123999999996</v>
      </c>
      <c r="K10" s="63">
        <v>63393.94999999999</v>
      </c>
      <c r="L10" s="64">
        <v>61885.819000000003</v>
      </c>
      <c r="M10" s="64">
        <v>64336.436999999991</v>
      </c>
      <c r="N10" s="69"/>
      <c r="O10" s="69"/>
    </row>
    <row r="11" spans="1:15" ht="15" x14ac:dyDescent="0.2">
      <c r="A11" s="66" t="s">
        <v>8</v>
      </c>
      <c r="B11" s="61">
        <v>537.55000000000018</v>
      </c>
      <c r="C11" s="62">
        <v>606.80799999999999</v>
      </c>
      <c r="D11" s="62">
        <v>678.15200000000277</v>
      </c>
      <c r="E11" s="63">
        <v>740.9360000000006</v>
      </c>
      <c r="F11" s="63">
        <v>927.83299999999781</v>
      </c>
      <c r="G11" s="63">
        <v>848.35799999999654</v>
      </c>
      <c r="H11" s="63">
        <v>1042.3570000000036</v>
      </c>
      <c r="I11" s="63">
        <v>807.31799999999839</v>
      </c>
      <c r="J11" s="63">
        <v>870.51200000000154</v>
      </c>
      <c r="K11" s="63">
        <v>1664.4920000000029</v>
      </c>
      <c r="L11" s="64">
        <v>991.699999999998</v>
      </c>
      <c r="M11" s="64">
        <v>1487.2070000000012</v>
      </c>
      <c r="N11" s="69"/>
      <c r="O11" s="70"/>
    </row>
    <row r="12" spans="1:15" ht="15.75" x14ac:dyDescent="0.2">
      <c r="A12" s="65" t="s">
        <v>9</v>
      </c>
      <c r="B12" s="61">
        <v>60501.79</v>
      </c>
      <c r="C12" s="62">
        <v>60562.602999999988</v>
      </c>
      <c r="D12" s="62">
        <v>64983.195999999996</v>
      </c>
      <c r="E12" s="63">
        <v>64955.064000000006</v>
      </c>
      <c r="F12" s="63">
        <v>65897.167000000001</v>
      </c>
      <c r="G12" s="63">
        <v>67869.641999999993</v>
      </c>
      <c r="H12" s="63">
        <v>65512.642999999996</v>
      </c>
      <c r="I12" s="63">
        <v>55806.682000000001</v>
      </c>
      <c r="J12" s="63">
        <v>58176.796000000002</v>
      </c>
      <c r="K12" s="63">
        <v>62127.737000000001</v>
      </c>
      <c r="L12" s="64">
        <v>61473.311999999991</v>
      </c>
      <c r="M12" s="64">
        <v>63527.047000000013</v>
      </c>
      <c r="N12" s="69"/>
      <c r="O12" s="69"/>
    </row>
    <row r="13" spans="1:15" ht="15" x14ac:dyDescent="0.2">
      <c r="A13" s="67" t="s">
        <v>14</v>
      </c>
      <c r="B13" s="61">
        <v>1879.5739999999998</v>
      </c>
      <c r="C13" s="62">
        <v>1955.3679999999999</v>
      </c>
      <c r="D13" s="62">
        <v>2363.9790000000003</v>
      </c>
      <c r="E13" s="63">
        <v>2365.8740000000003</v>
      </c>
      <c r="F13" s="63">
        <v>2346.299</v>
      </c>
      <c r="G13" s="63">
        <v>2236.3780000000002</v>
      </c>
      <c r="H13" s="63">
        <v>2113.3359999999998</v>
      </c>
      <c r="I13" s="63">
        <v>1907.335</v>
      </c>
      <c r="J13" s="63">
        <v>1952.643</v>
      </c>
      <c r="K13" s="63">
        <v>2704.739</v>
      </c>
      <c r="L13" s="64">
        <v>2094.491</v>
      </c>
      <c r="M13" s="64">
        <v>2051.183</v>
      </c>
      <c r="N13" s="69"/>
      <c r="O13" s="69"/>
    </row>
    <row r="14" spans="1:15" ht="15" x14ac:dyDescent="0.2">
      <c r="A14" s="67" t="s">
        <v>15</v>
      </c>
      <c r="B14" s="61">
        <v>0</v>
      </c>
      <c r="C14" s="62">
        <v>0</v>
      </c>
      <c r="D14" s="62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4">
        <v>0</v>
      </c>
      <c r="M14" s="64">
        <v>0</v>
      </c>
      <c r="N14" s="69"/>
      <c r="O14" s="69"/>
    </row>
    <row r="15" spans="1:15" ht="15" x14ac:dyDescent="0.2">
      <c r="A15" s="67" t="s">
        <v>16</v>
      </c>
      <c r="B15" s="61">
        <v>1144.5999999999999</v>
      </c>
      <c r="C15" s="62">
        <v>1112.5830000000001</v>
      </c>
      <c r="D15" s="62">
        <v>1173.1079999999999</v>
      </c>
      <c r="E15" s="63">
        <v>1178.07</v>
      </c>
      <c r="F15" s="63">
        <v>1152.7330000000002</v>
      </c>
      <c r="G15" s="63">
        <v>1103.134</v>
      </c>
      <c r="H15" s="63">
        <v>958.995</v>
      </c>
      <c r="I15" s="63">
        <v>854.30399999999997</v>
      </c>
      <c r="J15" s="63">
        <v>1071.2329999999999</v>
      </c>
      <c r="K15" s="63">
        <v>1100.6819999999998</v>
      </c>
      <c r="L15" s="64">
        <v>1055.7279999999998</v>
      </c>
      <c r="M15" s="64">
        <v>1113.3280000000002</v>
      </c>
      <c r="N15" s="69"/>
      <c r="O15" s="69"/>
    </row>
    <row r="16" spans="1:15" ht="15" x14ac:dyDescent="0.2">
      <c r="A16" s="67" t="s">
        <v>17</v>
      </c>
      <c r="B16" s="61">
        <v>567.88700000000006</v>
      </c>
      <c r="C16" s="62">
        <v>462.25600000000003</v>
      </c>
      <c r="D16" s="62">
        <v>525.89199999999994</v>
      </c>
      <c r="E16" s="63">
        <v>362.93</v>
      </c>
      <c r="F16" s="63">
        <v>248.26700000000002</v>
      </c>
      <c r="G16" s="63">
        <v>207.77599999999998</v>
      </c>
      <c r="H16" s="63">
        <v>208.005</v>
      </c>
      <c r="I16" s="63">
        <v>65.696000000000026</v>
      </c>
      <c r="J16" s="63">
        <v>168.73700000000002</v>
      </c>
      <c r="K16" s="63">
        <v>34.631</v>
      </c>
      <c r="L16" s="64">
        <v>138.84900000000005</v>
      </c>
      <c r="M16" s="64">
        <v>137.88999999999999</v>
      </c>
      <c r="N16" s="69"/>
      <c r="O16" s="69"/>
    </row>
    <row r="17" spans="1:15" ht="15" x14ac:dyDescent="0.2">
      <c r="A17" s="67" t="s">
        <v>18</v>
      </c>
      <c r="B17" s="61">
        <v>345.08400000000006</v>
      </c>
      <c r="C17" s="62">
        <v>303.50700000000001</v>
      </c>
      <c r="D17" s="62">
        <v>1240</v>
      </c>
      <c r="E17" s="63">
        <v>1194</v>
      </c>
      <c r="F17" s="63">
        <v>1368</v>
      </c>
      <c r="G17" s="63">
        <v>1756</v>
      </c>
      <c r="H17" s="63">
        <v>1438</v>
      </c>
      <c r="I17" s="63">
        <v>1309</v>
      </c>
      <c r="J17" s="63">
        <v>1443.748</v>
      </c>
      <c r="K17" s="63">
        <v>1678.6889999999999</v>
      </c>
      <c r="L17" s="64">
        <v>1641.7580000000003</v>
      </c>
      <c r="M17" s="64">
        <v>1735.9580000000001</v>
      </c>
      <c r="N17" s="69"/>
      <c r="O17" s="69"/>
    </row>
    <row r="18" spans="1:15" ht="15" x14ac:dyDescent="0.2">
      <c r="A18" s="67" t="s">
        <v>19</v>
      </c>
      <c r="B18" s="61">
        <v>0</v>
      </c>
      <c r="C18" s="62">
        <v>0</v>
      </c>
      <c r="D18" s="62">
        <v>0</v>
      </c>
      <c r="E18" s="63">
        <v>0</v>
      </c>
      <c r="F18" s="63">
        <v>0</v>
      </c>
      <c r="G18" s="63">
        <v>0</v>
      </c>
      <c r="H18" s="63">
        <v>0</v>
      </c>
      <c r="I18" s="63">
        <v>0</v>
      </c>
      <c r="J18" s="63">
        <v>0</v>
      </c>
      <c r="K18" s="63">
        <v>0</v>
      </c>
      <c r="L18" s="64">
        <v>0</v>
      </c>
      <c r="M18" s="64">
        <v>0</v>
      </c>
      <c r="N18" s="69"/>
      <c r="O18" s="69"/>
    </row>
    <row r="19" spans="1:15" ht="15" x14ac:dyDescent="0.2">
      <c r="A19" s="67" t="s">
        <v>20</v>
      </c>
      <c r="B19" s="61">
        <v>1287.2289999999998</v>
      </c>
      <c r="C19" s="62">
        <v>1309.3149999999998</v>
      </c>
      <c r="D19" s="62">
        <v>1093.296</v>
      </c>
      <c r="E19" s="63">
        <v>1019.001</v>
      </c>
      <c r="F19" s="63">
        <v>878.40499999999986</v>
      </c>
      <c r="G19" s="63">
        <v>1195.105</v>
      </c>
      <c r="H19" s="63">
        <v>1095.317</v>
      </c>
      <c r="I19" s="63">
        <v>1053.1750000000002</v>
      </c>
      <c r="J19" s="63">
        <v>1186.8810000000001</v>
      </c>
      <c r="K19" s="63">
        <v>1211.8000000000002</v>
      </c>
      <c r="L19" s="64">
        <v>945.81700000000001</v>
      </c>
      <c r="M19" s="64">
        <v>1138.0340000000001</v>
      </c>
      <c r="N19" s="69"/>
      <c r="O19" s="69"/>
    </row>
    <row r="20" spans="1:15" ht="15" x14ac:dyDescent="0.2">
      <c r="A20" s="67" t="s">
        <v>21</v>
      </c>
      <c r="B20" s="61">
        <v>59.605999999999995</v>
      </c>
      <c r="C20" s="62">
        <v>75.36699999999999</v>
      </c>
      <c r="D20" s="62">
        <v>50.234000000000002</v>
      </c>
      <c r="E20" s="63">
        <v>60.134</v>
      </c>
      <c r="F20" s="63">
        <v>71.317000000000007</v>
      </c>
      <c r="G20" s="63">
        <v>61.750000000000007</v>
      </c>
      <c r="H20" s="63">
        <v>77.353999999999999</v>
      </c>
      <c r="I20" s="63">
        <v>58.756999999999998</v>
      </c>
      <c r="J20" s="63">
        <v>55.305999999999997</v>
      </c>
      <c r="K20" s="63">
        <v>66.042999999999992</v>
      </c>
      <c r="L20" s="64">
        <v>97.459000000000003</v>
      </c>
      <c r="M20" s="64">
        <v>95.51900000000002</v>
      </c>
      <c r="N20" s="69"/>
      <c r="O20" s="69"/>
    </row>
    <row r="21" spans="1:15" ht="15" x14ac:dyDescent="0.2">
      <c r="A21" s="67" t="s">
        <v>22</v>
      </c>
      <c r="B21" s="61">
        <v>0</v>
      </c>
      <c r="C21" s="62">
        <v>0</v>
      </c>
      <c r="D21" s="62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4">
        <v>0</v>
      </c>
      <c r="M21" s="64">
        <v>0</v>
      </c>
      <c r="N21" s="69"/>
      <c r="O21" s="69"/>
    </row>
    <row r="22" spans="1:15" ht="15" x14ac:dyDescent="0.2">
      <c r="A22" s="67" t="s">
        <v>23</v>
      </c>
      <c r="B22" s="61">
        <v>6124.0770000000002</v>
      </c>
      <c r="C22" s="62">
        <v>5890.1620000000003</v>
      </c>
      <c r="D22" s="62">
        <v>7961.8929999999991</v>
      </c>
      <c r="E22" s="63">
        <v>8475.8809999999994</v>
      </c>
      <c r="F22" s="63">
        <v>8150.8120000000008</v>
      </c>
      <c r="G22" s="63">
        <v>7954.1570000000011</v>
      </c>
      <c r="H22" s="63">
        <v>7914.9160000000002</v>
      </c>
      <c r="I22" s="63">
        <v>6711.4719999999998</v>
      </c>
      <c r="J22" s="63">
        <v>8425.6710000000003</v>
      </c>
      <c r="K22" s="63">
        <v>8600.77</v>
      </c>
      <c r="L22" s="64">
        <v>8649.3249999999989</v>
      </c>
      <c r="M22" s="64">
        <v>8535.6580000000013</v>
      </c>
      <c r="N22" s="69"/>
      <c r="O22" s="69"/>
    </row>
    <row r="23" spans="1:15" ht="15" x14ac:dyDescent="0.2">
      <c r="A23" s="67" t="s">
        <v>24</v>
      </c>
      <c r="B23" s="61">
        <v>0</v>
      </c>
      <c r="C23" s="62">
        <v>0</v>
      </c>
      <c r="D23" s="62">
        <v>0</v>
      </c>
      <c r="E23" s="63">
        <v>0</v>
      </c>
      <c r="F23" s="63">
        <v>0</v>
      </c>
      <c r="G23" s="63">
        <v>0</v>
      </c>
      <c r="H23" s="63">
        <v>0</v>
      </c>
      <c r="I23" s="63">
        <v>0</v>
      </c>
      <c r="J23" s="63">
        <v>0</v>
      </c>
      <c r="K23" s="63">
        <v>0</v>
      </c>
      <c r="L23" s="64">
        <v>0</v>
      </c>
      <c r="M23" s="64">
        <v>0</v>
      </c>
      <c r="N23" s="69"/>
      <c r="O23" s="69"/>
    </row>
    <row r="24" spans="1:15" ht="15" x14ac:dyDescent="0.2">
      <c r="A24" s="67" t="s">
        <v>25</v>
      </c>
      <c r="B24" s="61">
        <v>0</v>
      </c>
      <c r="C24" s="62">
        <v>0</v>
      </c>
      <c r="D24" s="62">
        <v>0</v>
      </c>
      <c r="E24" s="63">
        <v>0</v>
      </c>
      <c r="F24" s="63">
        <v>0</v>
      </c>
      <c r="G24" s="63">
        <v>0</v>
      </c>
      <c r="H24" s="63">
        <v>0</v>
      </c>
      <c r="I24" s="63">
        <v>0</v>
      </c>
      <c r="J24" s="63">
        <v>0</v>
      </c>
      <c r="K24" s="63">
        <v>0</v>
      </c>
      <c r="L24" s="64">
        <v>0</v>
      </c>
      <c r="M24" s="64">
        <v>0</v>
      </c>
      <c r="N24" s="69"/>
      <c r="O24" s="69"/>
    </row>
    <row r="25" spans="1:15" ht="15" x14ac:dyDescent="0.2">
      <c r="A25" s="67" t="s">
        <v>26</v>
      </c>
      <c r="B25" s="61">
        <v>148.95000000000002</v>
      </c>
      <c r="C25" s="62">
        <v>197.20900000000003</v>
      </c>
      <c r="D25" s="62">
        <v>225.935</v>
      </c>
      <c r="E25" s="63">
        <v>213.608</v>
      </c>
      <c r="F25" s="63">
        <v>188.614</v>
      </c>
      <c r="G25" s="63">
        <v>380.85499999999996</v>
      </c>
      <c r="H25" s="63">
        <v>454.21</v>
      </c>
      <c r="I25" s="63">
        <v>155.31899999999996</v>
      </c>
      <c r="J25" s="63">
        <v>315.61900000000003</v>
      </c>
      <c r="K25" s="63">
        <v>427.49299999999994</v>
      </c>
      <c r="L25" s="64">
        <v>398.375</v>
      </c>
      <c r="M25" s="64">
        <v>524.63</v>
      </c>
      <c r="N25" s="69"/>
      <c r="O25" s="69"/>
    </row>
    <row r="26" spans="1:15" ht="15" x14ac:dyDescent="0.2">
      <c r="A26" s="67" t="s">
        <v>27</v>
      </c>
      <c r="B26" s="61">
        <v>2.2000000000000002E-2</v>
      </c>
      <c r="C26" s="62">
        <v>3.0000000000000002E-2</v>
      </c>
      <c r="D26" s="62">
        <v>0</v>
      </c>
      <c r="E26" s="63">
        <v>0</v>
      </c>
      <c r="F26" s="63">
        <v>0</v>
      </c>
      <c r="G26" s="63">
        <v>0</v>
      </c>
      <c r="H26" s="63">
        <v>0</v>
      </c>
      <c r="I26" s="63">
        <v>0</v>
      </c>
      <c r="J26" s="63">
        <v>0</v>
      </c>
      <c r="K26" s="63">
        <v>0</v>
      </c>
      <c r="L26" s="64">
        <v>0</v>
      </c>
      <c r="M26" s="64">
        <v>0</v>
      </c>
      <c r="N26" s="69"/>
      <c r="O26" s="69"/>
    </row>
    <row r="27" spans="1:15" ht="15" x14ac:dyDescent="0.2">
      <c r="A27" s="67" t="s">
        <v>28</v>
      </c>
      <c r="B27" s="61">
        <v>8477.628999999999</v>
      </c>
      <c r="C27" s="62">
        <v>8678.8389999999999</v>
      </c>
      <c r="D27" s="62">
        <v>9285.3820000000014</v>
      </c>
      <c r="E27" s="63">
        <v>8672.6139999999996</v>
      </c>
      <c r="F27" s="63">
        <v>9300.3379999999997</v>
      </c>
      <c r="G27" s="63">
        <v>10038.733</v>
      </c>
      <c r="H27" s="63">
        <v>9816.6459999999988</v>
      </c>
      <c r="I27" s="63">
        <v>7838.5070000000005</v>
      </c>
      <c r="J27" s="63">
        <v>8378.6840000000011</v>
      </c>
      <c r="K27" s="63">
        <v>9153.7040000000015</v>
      </c>
      <c r="L27" s="64">
        <v>9387.0400000000009</v>
      </c>
      <c r="M27" s="64">
        <v>9844.6370000000006</v>
      </c>
      <c r="N27" s="69"/>
      <c r="O27" s="69"/>
    </row>
    <row r="28" spans="1:15" ht="15" x14ac:dyDescent="0.2">
      <c r="A28" s="67" t="s">
        <v>29</v>
      </c>
      <c r="B28" s="61">
        <v>3.0000000000000001E-3</v>
      </c>
      <c r="C28" s="62">
        <v>5.0000000000000001E-3</v>
      </c>
      <c r="D28" s="62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4">
        <v>0</v>
      </c>
      <c r="M28" s="64">
        <v>0</v>
      </c>
      <c r="N28" s="69"/>
      <c r="O28" s="69"/>
    </row>
    <row r="29" spans="1:15" ht="15" x14ac:dyDescent="0.2">
      <c r="A29" s="67" t="s">
        <v>30</v>
      </c>
      <c r="B29" s="61">
        <v>2436.9259999999999</v>
      </c>
      <c r="C29" s="62">
        <v>2208.1949999999997</v>
      </c>
      <c r="D29" s="62">
        <v>1983.4960000000001</v>
      </c>
      <c r="E29" s="63">
        <v>2904.6060000000007</v>
      </c>
      <c r="F29" s="63">
        <v>2956.1630000000005</v>
      </c>
      <c r="G29" s="63">
        <v>3166.7429999999995</v>
      </c>
      <c r="H29" s="63">
        <v>3181.0829999999996</v>
      </c>
      <c r="I29" s="63">
        <v>3224.8609999999999</v>
      </c>
      <c r="J29" s="63">
        <v>3061.7809999999999</v>
      </c>
      <c r="K29" s="63">
        <v>2962.4490000000001</v>
      </c>
      <c r="L29" s="64">
        <v>2479.116</v>
      </c>
      <c r="M29" s="64">
        <v>3020.4830000000002</v>
      </c>
      <c r="N29" s="69"/>
      <c r="O29" s="70"/>
    </row>
    <row r="30" spans="1:15" ht="15" x14ac:dyDescent="0.2">
      <c r="A30" s="67" t="s">
        <v>31</v>
      </c>
      <c r="B30" s="61">
        <v>410.09999999999997</v>
      </c>
      <c r="C30" s="62">
        <v>329.80400000000003</v>
      </c>
      <c r="D30" s="62">
        <v>249.31899999999999</v>
      </c>
      <c r="E30" s="63">
        <v>268.18200000000002</v>
      </c>
      <c r="F30" s="63">
        <v>313.66699999999997</v>
      </c>
      <c r="G30" s="63">
        <v>332.56800000000004</v>
      </c>
      <c r="H30" s="63">
        <v>282.54199999999997</v>
      </c>
      <c r="I30" s="63">
        <v>379.303</v>
      </c>
      <c r="J30" s="63">
        <v>377.07799999999992</v>
      </c>
      <c r="K30" s="63">
        <v>404.28500000000003</v>
      </c>
      <c r="L30" s="64">
        <v>270.95500000000004</v>
      </c>
      <c r="M30" s="64">
        <v>365.98799999999989</v>
      </c>
      <c r="N30" s="69"/>
      <c r="O30" s="69"/>
    </row>
    <row r="31" spans="1:15" ht="15" x14ac:dyDescent="0.2">
      <c r="A31" s="67" t="s">
        <v>32</v>
      </c>
      <c r="B31" s="61">
        <v>24.143999999999998</v>
      </c>
      <c r="C31" s="62">
        <v>221.791</v>
      </c>
      <c r="D31" s="62">
        <v>122.66900000000001</v>
      </c>
      <c r="E31" s="63">
        <v>84.996999999999986</v>
      </c>
      <c r="F31" s="63">
        <v>121.81199999999998</v>
      </c>
      <c r="G31" s="63">
        <v>53.104000000000006</v>
      </c>
      <c r="H31" s="63">
        <v>75.085000000000008</v>
      </c>
      <c r="I31" s="63">
        <v>63.033000000000001</v>
      </c>
      <c r="J31" s="63">
        <v>44.867999999999995</v>
      </c>
      <c r="K31" s="63">
        <v>49.397000000000006</v>
      </c>
      <c r="L31" s="64">
        <v>92.393000000000001</v>
      </c>
      <c r="M31" s="64">
        <v>111.916</v>
      </c>
      <c r="N31" s="69"/>
      <c r="O31" s="69"/>
    </row>
    <row r="32" spans="1:15" ht="15" x14ac:dyDescent="0.2">
      <c r="A32" s="67" t="s">
        <v>33</v>
      </c>
      <c r="B32" s="61">
        <v>13.891999999999999</v>
      </c>
      <c r="C32" s="62">
        <v>352.39799999999997</v>
      </c>
      <c r="D32" s="62">
        <v>634.03700000000003</v>
      </c>
      <c r="E32" s="63">
        <v>530.70800000000008</v>
      </c>
      <c r="F32" s="63">
        <v>377.63900000000001</v>
      </c>
      <c r="G32" s="63">
        <v>782.8570000000002</v>
      </c>
      <c r="H32" s="63">
        <v>745.18700000000001</v>
      </c>
      <c r="I32" s="63">
        <v>889.81500000000005</v>
      </c>
      <c r="J32" s="63">
        <v>898.79899999999998</v>
      </c>
      <c r="K32" s="63">
        <v>894.15199999999982</v>
      </c>
      <c r="L32" s="64">
        <v>664.36899999999991</v>
      </c>
      <c r="M32" s="64">
        <v>661.39700000000005</v>
      </c>
      <c r="N32" s="69"/>
      <c r="O32" s="69"/>
    </row>
    <row r="33" spans="1:15" ht="15" x14ac:dyDescent="0.2">
      <c r="A33" s="67" t="s">
        <v>34</v>
      </c>
      <c r="B33" s="61">
        <v>0.30299999999999999</v>
      </c>
      <c r="C33" s="62">
        <v>0.17100000000000001</v>
      </c>
      <c r="D33" s="62">
        <v>0</v>
      </c>
      <c r="E33" s="63">
        <v>0</v>
      </c>
      <c r="F33" s="63">
        <v>0</v>
      </c>
      <c r="G33" s="63">
        <v>0</v>
      </c>
      <c r="H33" s="63">
        <v>0</v>
      </c>
      <c r="I33" s="63">
        <v>0</v>
      </c>
      <c r="J33" s="63">
        <v>0</v>
      </c>
      <c r="K33" s="63">
        <v>0</v>
      </c>
      <c r="L33" s="64">
        <v>0</v>
      </c>
      <c r="M33" s="64">
        <v>0</v>
      </c>
      <c r="N33" s="69"/>
      <c r="O33" s="69"/>
    </row>
    <row r="34" spans="1:15" ht="15" x14ac:dyDescent="0.2">
      <c r="A34" s="67" t="s">
        <v>35</v>
      </c>
      <c r="B34" s="61">
        <v>23759.561000000002</v>
      </c>
      <c r="C34" s="62">
        <v>23998.255999999994</v>
      </c>
      <c r="D34" s="62">
        <v>24477.329000000005</v>
      </c>
      <c r="E34" s="63">
        <v>22853.851999999999</v>
      </c>
      <c r="F34" s="63">
        <v>23356.296000000002</v>
      </c>
      <c r="G34" s="63">
        <v>22827.504000000001</v>
      </c>
      <c r="H34" s="63">
        <v>22851.345999999998</v>
      </c>
      <c r="I34" s="63">
        <v>19692.742000000002</v>
      </c>
      <c r="J34" s="63">
        <v>19803.856</v>
      </c>
      <c r="K34" s="63">
        <v>21713.006999999998</v>
      </c>
      <c r="L34" s="64">
        <v>22082.314000000002</v>
      </c>
      <c r="M34" s="64">
        <v>20935.054999999997</v>
      </c>
      <c r="N34" s="69"/>
      <c r="O34" s="70"/>
    </row>
    <row r="35" spans="1:15" ht="15" x14ac:dyDescent="0.2">
      <c r="A35" s="67" t="s">
        <v>36</v>
      </c>
      <c r="B35" s="61">
        <v>138.06799999999998</v>
      </c>
      <c r="C35" s="62">
        <v>273.51499999999999</v>
      </c>
      <c r="D35" s="62">
        <v>19.149999999999999</v>
      </c>
      <c r="E35" s="63">
        <v>64.655000000000001</v>
      </c>
      <c r="F35" s="63">
        <v>146.423</v>
      </c>
      <c r="G35" s="63">
        <v>273.22399999999999</v>
      </c>
      <c r="H35" s="63">
        <v>161.75699999999998</v>
      </c>
      <c r="I35" s="63">
        <v>124.24600000000001</v>
      </c>
      <c r="J35" s="63">
        <v>120.07700000000001</v>
      </c>
      <c r="K35" s="63">
        <v>131.208</v>
      </c>
      <c r="L35" s="64">
        <v>142.107</v>
      </c>
      <c r="M35" s="64">
        <v>309.11499999999995</v>
      </c>
      <c r="N35" s="69"/>
      <c r="O35" s="70"/>
    </row>
    <row r="36" spans="1:15" ht="15" x14ac:dyDescent="0.2">
      <c r="A36" s="67" t="s">
        <v>37</v>
      </c>
      <c r="B36" s="61">
        <v>3.0000000000000001E-3</v>
      </c>
      <c r="C36" s="62">
        <v>0</v>
      </c>
      <c r="D36" s="62">
        <v>0</v>
      </c>
      <c r="E36" s="63">
        <v>0</v>
      </c>
      <c r="F36" s="63">
        <v>0</v>
      </c>
      <c r="G36" s="63">
        <v>0</v>
      </c>
      <c r="H36" s="63">
        <v>0</v>
      </c>
      <c r="I36" s="63">
        <v>0</v>
      </c>
      <c r="J36" s="63">
        <v>0</v>
      </c>
      <c r="K36" s="63">
        <v>0</v>
      </c>
      <c r="L36" s="64">
        <v>0</v>
      </c>
      <c r="M36" s="64">
        <v>0</v>
      </c>
      <c r="N36" s="69"/>
      <c r="O36" s="69"/>
    </row>
    <row r="37" spans="1:15" ht="15" x14ac:dyDescent="0.2">
      <c r="A37" s="67" t="s">
        <v>38</v>
      </c>
      <c r="B37" s="61">
        <v>97.96</v>
      </c>
      <c r="C37" s="62">
        <v>43.962000000000003</v>
      </c>
      <c r="D37" s="62">
        <v>0</v>
      </c>
      <c r="E37" s="63">
        <v>1.0999999999999999E-2</v>
      </c>
      <c r="F37" s="63">
        <v>2.1000000000000001E-2</v>
      </c>
      <c r="G37" s="63">
        <v>1.9E-2</v>
      </c>
      <c r="H37" s="63">
        <v>3.6999999999999998E-2</v>
      </c>
      <c r="I37" s="63">
        <v>0</v>
      </c>
      <c r="J37" s="63">
        <v>1.4999999999999999E-2</v>
      </c>
      <c r="K37" s="63">
        <v>0</v>
      </c>
      <c r="L37" s="64">
        <v>1E-3</v>
      </c>
      <c r="M37" s="64">
        <v>1E-3</v>
      </c>
      <c r="N37" s="69"/>
      <c r="O37" s="69"/>
    </row>
    <row r="38" spans="1:15" ht="15" x14ac:dyDescent="0.2">
      <c r="A38" s="67" t="s">
        <v>39</v>
      </c>
      <c r="B38" s="61">
        <v>10.284000000000001</v>
      </c>
      <c r="C38" s="62">
        <v>50.414000000000001</v>
      </c>
      <c r="D38" s="62">
        <v>36.086000000000006</v>
      </c>
      <c r="E38" s="63">
        <v>6.875</v>
      </c>
      <c r="F38" s="63">
        <v>39.305</v>
      </c>
      <c r="G38" s="63">
        <v>70.665000000000006</v>
      </c>
      <c r="H38" s="63">
        <v>23.421000000000003</v>
      </c>
      <c r="I38" s="63">
        <v>75.243999999999986</v>
      </c>
      <c r="J38" s="63">
        <v>74.864000000000004</v>
      </c>
      <c r="K38" s="63">
        <v>0.97200000000000031</v>
      </c>
      <c r="L38" s="64">
        <v>5.0659999999999998</v>
      </c>
      <c r="M38" s="64">
        <v>5.8289999999999997</v>
      </c>
      <c r="N38" s="69"/>
      <c r="O38" s="69"/>
    </row>
    <row r="39" spans="1:15" ht="15" x14ac:dyDescent="0.2">
      <c r="A39" s="67" t="s">
        <v>57</v>
      </c>
      <c r="B39" s="61">
        <v>262.62299999999999</v>
      </c>
      <c r="C39" s="62">
        <v>156.21599999999998</v>
      </c>
      <c r="D39" s="62">
        <v>4.4409999999999998</v>
      </c>
      <c r="E39" s="63">
        <v>5.1980000000000004</v>
      </c>
      <c r="F39" s="63">
        <v>1.8049999999999997</v>
      </c>
      <c r="G39" s="63">
        <v>0</v>
      </c>
      <c r="H39" s="63">
        <v>0</v>
      </c>
      <c r="I39" s="63">
        <v>0</v>
      </c>
      <c r="J39" s="63">
        <v>0</v>
      </c>
      <c r="K39" s="63">
        <v>7.0000000000000001E-3</v>
      </c>
      <c r="L39" s="64">
        <v>3.0000000000000001E-3</v>
      </c>
      <c r="M39" s="64">
        <v>0</v>
      </c>
      <c r="N39" s="69"/>
      <c r="O39" s="69"/>
    </row>
    <row r="40" spans="1:15" ht="15" x14ac:dyDescent="0.2">
      <c r="A40" s="67" t="s">
        <v>40</v>
      </c>
      <c r="B40" s="61">
        <v>4925.3550000000005</v>
      </c>
      <c r="C40" s="62">
        <v>4231.1399999999994</v>
      </c>
      <c r="D40" s="62">
        <v>3943.2400000000002</v>
      </c>
      <c r="E40" s="63">
        <v>5097.1839999999993</v>
      </c>
      <c r="F40" s="63">
        <v>5491.2370000000001</v>
      </c>
      <c r="G40" s="63">
        <v>5929.7330000000002</v>
      </c>
      <c r="H40" s="63">
        <v>5032.235999999999</v>
      </c>
      <c r="I40" s="63">
        <v>2367.299</v>
      </c>
      <c r="J40" s="63">
        <v>2569.741</v>
      </c>
      <c r="K40" s="63">
        <v>3641.92</v>
      </c>
      <c r="L40" s="64">
        <v>3941.1609999999996</v>
      </c>
      <c r="M40" s="64">
        <v>4651.4579999999996</v>
      </c>
      <c r="N40" s="69"/>
      <c r="O40" s="70"/>
    </row>
    <row r="41" spans="1:15" ht="15" x14ac:dyDescent="0.2">
      <c r="A41" s="67" t="s">
        <v>41</v>
      </c>
      <c r="B41" s="61">
        <v>190.64699999999996</v>
      </c>
      <c r="C41" s="62">
        <v>336.96300000000008</v>
      </c>
      <c r="D41" s="62">
        <v>396.09100000000001</v>
      </c>
      <c r="E41" s="63">
        <v>408.81400000000002</v>
      </c>
      <c r="F41" s="63">
        <v>399.22699999999998</v>
      </c>
      <c r="G41" s="63">
        <v>414.57400000000001</v>
      </c>
      <c r="H41" s="63">
        <v>354.22500000000002</v>
      </c>
      <c r="I41" s="63">
        <v>316.589</v>
      </c>
      <c r="J41" s="63">
        <v>307.51099999999997</v>
      </c>
      <c r="K41" s="63">
        <v>341.11200000000002</v>
      </c>
      <c r="L41" s="64">
        <v>310.36</v>
      </c>
      <c r="M41" s="64">
        <v>280.16399999999999</v>
      </c>
      <c r="N41" s="69"/>
      <c r="O41" s="69"/>
    </row>
    <row r="42" spans="1:15" ht="15" x14ac:dyDescent="0.2">
      <c r="A42" s="67" t="s">
        <v>42</v>
      </c>
      <c r="B42" s="61">
        <v>2073.8830000000003</v>
      </c>
      <c r="C42" s="62">
        <v>1917.2549999999997</v>
      </c>
      <c r="D42" s="62">
        <v>2491.1219999999998</v>
      </c>
      <c r="E42" s="63">
        <v>2471.4650000000001</v>
      </c>
      <c r="F42" s="63">
        <v>2482.5739999999996</v>
      </c>
      <c r="G42" s="63">
        <v>2629.5830000000001</v>
      </c>
      <c r="H42" s="63">
        <v>2372.59</v>
      </c>
      <c r="I42" s="63">
        <v>1907.655</v>
      </c>
      <c r="J42" s="63">
        <v>2191.232</v>
      </c>
      <c r="K42" s="63">
        <v>1715.5740000000001</v>
      </c>
      <c r="L42" s="64">
        <v>1822.5049999999999</v>
      </c>
      <c r="M42" s="64">
        <v>1869.1460000000002</v>
      </c>
      <c r="N42" s="69"/>
      <c r="O42" s="69"/>
    </row>
    <row r="43" spans="1:15" ht="15" x14ac:dyDescent="0.2">
      <c r="A43" s="67" t="s">
        <v>43</v>
      </c>
      <c r="B43" s="61">
        <v>180.18800000000002</v>
      </c>
      <c r="C43" s="62">
        <v>203.84299999999999</v>
      </c>
      <c r="D43" s="62">
        <v>257.37900000000002</v>
      </c>
      <c r="E43" s="63">
        <v>265.14699999999999</v>
      </c>
      <c r="F43" s="63">
        <v>255.05499999999998</v>
      </c>
      <c r="G43" s="63">
        <v>243.16300000000001</v>
      </c>
      <c r="H43" s="63">
        <v>201.55599999999998</v>
      </c>
      <c r="I43" s="63">
        <v>129.38900000000001</v>
      </c>
      <c r="J43" s="63">
        <v>143.95799999999997</v>
      </c>
      <c r="K43" s="63">
        <v>120.07800000000002</v>
      </c>
      <c r="L43" s="64">
        <v>122.27900000000001</v>
      </c>
      <c r="M43" s="64">
        <v>111.245</v>
      </c>
      <c r="N43" s="69"/>
      <c r="O43" s="69"/>
    </row>
    <row r="44" spans="1:15" ht="15" x14ac:dyDescent="0.2">
      <c r="A44" s="67" t="s">
        <v>44</v>
      </c>
      <c r="B44" s="61">
        <v>36.271000000000001</v>
      </c>
      <c r="C44" s="62">
        <v>55.038999999999994</v>
      </c>
      <c r="D44" s="62">
        <v>84.269000000000005</v>
      </c>
      <c r="E44" s="63">
        <v>94.957999999999984</v>
      </c>
      <c r="F44" s="63">
        <v>88.320999999999984</v>
      </c>
      <c r="G44" s="63">
        <v>89.766000000000005</v>
      </c>
      <c r="H44" s="63">
        <v>77.551000000000002</v>
      </c>
      <c r="I44" s="63">
        <v>72.461000000000013</v>
      </c>
      <c r="J44" s="63">
        <v>76.009999999999991</v>
      </c>
      <c r="K44" s="63">
        <v>78.824000000000012</v>
      </c>
      <c r="L44" s="64">
        <v>68.566999999999993</v>
      </c>
      <c r="M44" s="64">
        <v>69.851000000000013</v>
      </c>
      <c r="N44" s="69"/>
      <c r="O44" s="69"/>
    </row>
    <row r="45" spans="1:15" ht="15" x14ac:dyDescent="0.2">
      <c r="A45" s="67" t="s">
        <v>45</v>
      </c>
      <c r="B45" s="61">
        <v>3436.2899999999995</v>
      </c>
      <c r="C45" s="62">
        <v>3743.6349999999998</v>
      </c>
      <c r="D45" s="62">
        <v>3659.797</v>
      </c>
      <c r="E45" s="63">
        <v>3781.5</v>
      </c>
      <c r="F45" s="63">
        <v>3823.3130000000001</v>
      </c>
      <c r="G45" s="63">
        <v>3802.1469999999995</v>
      </c>
      <c r="H45" s="63">
        <v>3602.9690000000001</v>
      </c>
      <c r="I45" s="63">
        <v>3528.8910000000001</v>
      </c>
      <c r="J45" s="63">
        <v>2887.1469999999995</v>
      </c>
      <c r="K45" s="63">
        <v>3434.0340000000001</v>
      </c>
      <c r="L45" s="64">
        <v>3457.4449999999997</v>
      </c>
      <c r="M45" s="64">
        <v>3505.3779999999997</v>
      </c>
      <c r="N45" s="69"/>
      <c r="O45" s="69"/>
    </row>
    <row r="46" spans="1:15" ht="15" x14ac:dyDescent="0.2">
      <c r="A46" s="68" t="s">
        <v>52</v>
      </c>
      <c r="B46" s="64">
        <v>2470.631000000004</v>
      </c>
      <c r="C46" s="62">
        <v>2455.3649999999948</v>
      </c>
      <c r="D46" s="62">
        <v>2706.9480000000008</v>
      </c>
      <c r="E46" s="63">
        <v>2574.7999999999961</v>
      </c>
      <c r="F46" s="63">
        <v>2339.5239999999981</v>
      </c>
      <c r="G46" s="63">
        <v>2320.1039999999994</v>
      </c>
      <c r="H46" s="63">
        <v>2474.2789999999995</v>
      </c>
      <c r="I46" s="63">
        <v>3081.5889999999995</v>
      </c>
      <c r="J46" s="63">
        <v>2621.3369999999973</v>
      </c>
      <c r="K46" s="63">
        <v>1662.1669999999949</v>
      </c>
      <c r="L46" s="64">
        <v>1605.8290000000018</v>
      </c>
      <c r="M46" s="64">
        <v>2453.1839999999979</v>
      </c>
      <c r="N46" s="69"/>
      <c r="O46" s="70"/>
    </row>
  </sheetData>
  <pageMargins left="0.70000000000000007" right="0.70000000000000007" top="0.75" bottom="0.75" header="0.30000000000000004" footer="0.30000000000000004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15</vt:i4>
      </vt:variant>
    </vt:vector>
  </HeadingPairs>
  <TitlesOfParts>
    <vt:vector size="31" baseType="lpstr">
      <vt:lpstr>Carátula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Evolución_Anual</vt:lpstr>
      <vt:lpstr>'2013'!Área_de_impresión</vt:lpstr>
      <vt:lpstr>'2014'!Área_de_impresión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  <vt:lpstr>'2023'!Área_de_impresión</vt:lpstr>
      <vt:lpstr>'2024'!Área_de_impresión</vt:lpstr>
      <vt:lpstr>'2025'!Área_de_impresión</vt:lpstr>
      <vt:lpstr>Carátula!Área_de_impresión</vt:lpstr>
      <vt:lpstr>Evolución_Anual!Área_de_impresión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2023-10-19T09:07:44Z</dcterms:created>
  <dcterms:modified xsi:type="dcterms:W3CDTF">2025-05-19T06:55:07Z</dcterms:modified>
</cp:coreProperties>
</file>