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7.xml" ContentType="application/vnd.openxmlformats-officedocument.drawingml.chart+xml"/>
  <Override PartName="/xl/drawings/drawing3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34.xml" ContentType="application/vnd.openxmlformats-officedocument.drawingml.chart+xml"/>
  <Override PartName="/xl/drawings/drawing4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38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41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42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43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44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45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46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51.xml" ContentType="application/vnd.openxmlformats-officedocument.drawingml.chart+xml"/>
  <Override PartName="/xl/drawings/drawing5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6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 codeName="ThisWorkbook"/>
  <xr:revisionPtr revIDLastSave="0" documentId="13_ncr:1_{2E0D1A0D-CD8A-490B-9F38-12D766A33C42}" xr6:coauthVersionLast="47" xr6:coauthVersionMax="47" xr10:uidLastSave="{00000000-0000-0000-0000-000000000000}"/>
  <bookViews>
    <workbookView xWindow="-120" yWindow="-120" windowWidth="29040" windowHeight="15840" tabRatio="694" xr2:uid="{00000000-000D-0000-FFFF-FFFF00000000}"/>
  </bookViews>
  <sheets>
    <sheet name="Carátula" sheetId="15" r:id="rId1"/>
    <sheet name="2012" sheetId="1" r:id="rId2"/>
    <sheet name="2013" sheetId="4" r:id="rId3"/>
    <sheet name="2014" sheetId="5" r:id="rId4"/>
    <sheet name="2015" sheetId="6" r:id="rId5"/>
    <sheet name="2016" sheetId="7" r:id="rId6"/>
    <sheet name="2017" sheetId="8" r:id="rId7"/>
    <sheet name="2018" sheetId="9" r:id="rId8"/>
    <sheet name="2019" sheetId="10" r:id="rId9"/>
    <sheet name="2020" sheetId="11" r:id="rId10"/>
    <sheet name="2021" sheetId="12" r:id="rId11"/>
    <sheet name="2022" sheetId="13" r:id="rId12"/>
    <sheet name="2023" sheetId="14" r:id="rId13"/>
    <sheet name="2024" sheetId="19" r:id="rId14"/>
    <sheet name="2025" sheetId="20" r:id="rId15"/>
    <sheet name="2026" sheetId="22" r:id="rId16"/>
    <sheet name="Evolución_Anual" sheetId="16" r:id="rId17"/>
    <sheet name="Impresión" sheetId="17" state="hidden" r:id="rId18"/>
  </sheets>
  <definedNames>
    <definedName name="_xlnm.Print_Area" localSheetId="2">'2013'!$A$1:$N$49</definedName>
    <definedName name="_xlnm.Print_Area" localSheetId="3">'2014'!$A$1:$N$49</definedName>
    <definedName name="_xlnm.Print_Area" localSheetId="4">'2015'!$A$1:$N$49</definedName>
    <definedName name="_xlnm.Print_Area" localSheetId="5">'2016'!$A$1:$N$49</definedName>
    <definedName name="_xlnm.Print_Area" localSheetId="6">'2017'!$A$1:$N$49</definedName>
    <definedName name="_xlnm.Print_Area" localSheetId="7">'2018'!$A$1:$N$49</definedName>
    <definedName name="_xlnm.Print_Area" localSheetId="8">'2019'!$A$1:$N$49</definedName>
    <definedName name="_xlnm.Print_Area" localSheetId="9">'2020'!$A$1:$N$49</definedName>
    <definedName name="_xlnm.Print_Area" localSheetId="10">'2021'!$A$1:$N$49</definedName>
    <definedName name="_xlnm.Print_Area" localSheetId="11">'2022'!$A$1:$N$49</definedName>
    <definedName name="_xlnm.Print_Area" localSheetId="12">'2023'!$AB$1:$AQ$29</definedName>
    <definedName name="_xlnm.Print_Area" localSheetId="13">'2024'!$AB$30:$AQ$76</definedName>
    <definedName name="_xlnm.Print_Area" localSheetId="14">'2025'!$AB$32:$AQ$82</definedName>
    <definedName name="_xlnm.Print_Area" localSheetId="15">'2026'!$AB$32:$AQ$82</definedName>
    <definedName name="_xlnm.Print_Area" localSheetId="0">Carátula!$A:$H</definedName>
    <definedName name="_xlnm.Print_Area" localSheetId="16">Evolución_Anual!$A$1:$M$46</definedName>
    <definedName name="_xlnm.Print_Area" localSheetId="17">Impresión!$A$1:$R$44</definedName>
    <definedName name="wrn.MENSUAL." localSheetId="0" hidden="1">{#N/A,#N/A,FALSE,"REPORT 1";#N/A,#N/A,FALSE,"REPORT 2-A";#N/A,#N/A,FALSE,"REPORT 2-B";#N/A,#N/A,FALSE,"REPORT 3";#N/A,#N/A,FALSE,"REPORT 4";#N/A,#N/A,FALSE,"REPORT 5";#N/A,#N/A,FALSE,"REPORT 10";#N/A,#N/A,FALSE,"REPORT 11";#N/A,#N/A,FALSE,"RESERVAS EMERGENCIA"}</definedName>
    <definedName name="wrn.MENSUAL." localSheetId="16" hidden="1">{#N/A,#N/A,FALSE,"REPORT 1";#N/A,#N/A,FALSE,"REPORT 2-A";#N/A,#N/A,FALSE,"REPORT 2-B";#N/A,#N/A,FALSE,"REPORT 3";#N/A,#N/A,FALSE,"REPORT 4";#N/A,#N/A,FALSE,"REPORT 5";#N/A,#N/A,FALSE,"REPORT 10";#N/A,#N/A,FALSE,"REPORT 11";#N/A,#N/A,FALSE,"RESERVAS EMERGENCIA"}</definedName>
    <definedName name="wrn.MENSUAL." hidden="1">{#N/A,#N/A,FALSE,"REPORT 1";#N/A,#N/A,FALSE,"REPORT 2-A";#N/A,#N/A,FALSE,"REPORT 2-B";#N/A,#N/A,FALSE,"REPORT 3";#N/A,#N/A,FALSE,"REPORT 4";#N/A,#N/A,FALSE,"REPORT 5";#N/A,#N/A,FALSE,"REPORT 10";#N/A,#N/A,FALSE,"REPORT 11";#N/A,#N/A,FALSE,"RESERVAS EMERGENCIA"}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9" i="20" l="1"/>
  <c r="N48" i="20"/>
  <c r="N47" i="20"/>
  <c r="N46" i="20"/>
  <c r="N45" i="20"/>
  <c r="N44" i="20"/>
  <c r="N43" i="20"/>
  <c r="N42" i="20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M15" i="20"/>
  <c r="L15" i="20"/>
  <c r="K15" i="20"/>
  <c r="J15" i="20"/>
  <c r="I15" i="20"/>
  <c r="H15" i="20"/>
  <c r="G15" i="20"/>
  <c r="F15" i="20"/>
  <c r="E15" i="20"/>
  <c r="D15" i="20"/>
  <c r="C15" i="20"/>
  <c r="B15" i="20"/>
  <c r="N15" i="20" s="1"/>
  <c r="N14" i="20"/>
  <c r="N13" i="20"/>
  <c r="N12" i="20"/>
  <c r="N11" i="20"/>
  <c r="N10" i="20"/>
  <c r="N9" i="20"/>
  <c r="N8" i="20"/>
  <c r="N7" i="20"/>
  <c r="N6" i="20"/>
  <c r="N5" i="20"/>
  <c r="F15" i="22"/>
  <c r="E15" i="22"/>
  <c r="D15" i="22"/>
  <c r="C15" i="22"/>
  <c r="B15" i="22"/>
  <c r="N6" i="22"/>
  <c r="AV6" i="22" l="1"/>
  <c r="AV50" i="22"/>
  <c r="AU50" i="22"/>
  <c r="AV49" i="22"/>
  <c r="AU49" i="22"/>
  <c r="N49" i="22"/>
  <c r="AV48" i="22"/>
  <c r="AU48" i="22"/>
  <c r="N48" i="22"/>
  <c r="AV47" i="22"/>
  <c r="AU47" i="22"/>
  <c r="N47" i="22"/>
  <c r="AV46" i="22"/>
  <c r="AU46" i="22"/>
  <c r="N46" i="22"/>
  <c r="AV45" i="22"/>
  <c r="AU45" i="22"/>
  <c r="N45" i="22"/>
  <c r="AV44" i="22"/>
  <c r="AU44" i="22"/>
  <c r="N44" i="22"/>
  <c r="AV43" i="22"/>
  <c r="AU43" i="22"/>
  <c r="N43" i="22"/>
  <c r="AV42" i="22"/>
  <c r="AU42" i="22"/>
  <c r="N42" i="22"/>
  <c r="AV41" i="22"/>
  <c r="AU41" i="22"/>
  <c r="N41" i="22"/>
  <c r="AV40" i="22"/>
  <c r="AU40" i="22"/>
  <c r="N40" i="22"/>
  <c r="AV39" i="22"/>
  <c r="AU39" i="22"/>
  <c r="N39" i="22"/>
  <c r="AV38" i="22"/>
  <c r="AU38" i="22"/>
  <c r="N38" i="22"/>
  <c r="AV37" i="22"/>
  <c r="AU37" i="22"/>
  <c r="N37" i="22"/>
  <c r="AV36" i="22"/>
  <c r="AU36" i="22"/>
  <c r="N36" i="22"/>
  <c r="AV35" i="22"/>
  <c r="AU35" i="22"/>
  <c r="N35" i="22"/>
  <c r="AV34" i="22"/>
  <c r="AU34" i="22"/>
  <c r="N34" i="22"/>
  <c r="AV33" i="22"/>
  <c r="AU33" i="22"/>
  <c r="N33" i="22"/>
  <c r="AV32" i="22"/>
  <c r="AU32" i="22"/>
  <c r="N32" i="22"/>
  <c r="AV31" i="22"/>
  <c r="AU31" i="22"/>
  <c r="N31" i="22"/>
  <c r="AV30" i="22"/>
  <c r="AU30" i="22"/>
  <c r="N30" i="22"/>
  <c r="AV29" i="22"/>
  <c r="AU29" i="22"/>
  <c r="N29" i="22"/>
  <c r="AV28" i="22"/>
  <c r="AU28" i="22"/>
  <c r="N28" i="22"/>
  <c r="AV27" i="22"/>
  <c r="AU27" i="22"/>
  <c r="N27" i="22"/>
  <c r="AV26" i="22"/>
  <c r="AU26" i="22"/>
  <c r="N26" i="22"/>
  <c r="AV25" i="22"/>
  <c r="AU25" i="22"/>
  <c r="N25" i="22"/>
  <c r="AV24" i="22"/>
  <c r="AU24" i="22"/>
  <c r="N24" i="22"/>
  <c r="AV23" i="22"/>
  <c r="AU23" i="22"/>
  <c r="N23" i="22"/>
  <c r="AV22" i="22"/>
  <c r="AU22" i="22"/>
  <c r="N22" i="22"/>
  <c r="AV21" i="22"/>
  <c r="AU21" i="22"/>
  <c r="N21" i="22"/>
  <c r="AV20" i="22"/>
  <c r="AU20" i="22"/>
  <c r="N20" i="22"/>
  <c r="AV19" i="22"/>
  <c r="AU19" i="22"/>
  <c r="N19" i="22"/>
  <c r="AV18" i="22"/>
  <c r="AU18" i="22"/>
  <c r="N18" i="22"/>
  <c r="AV17" i="22"/>
  <c r="AU17" i="22"/>
  <c r="N17" i="22"/>
  <c r="N16" i="22"/>
  <c r="AV15" i="22"/>
  <c r="AU15" i="22"/>
  <c r="N15" i="22"/>
  <c r="AV14" i="22"/>
  <c r="AU14" i="22"/>
  <c r="N14" i="22"/>
  <c r="AV13" i="22"/>
  <c r="AU13" i="22"/>
  <c r="N13" i="22"/>
  <c r="AV12" i="22"/>
  <c r="AU12" i="22"/>
  <c r="N12" i="22"/>
  <c r="AV11" i="22"/>
  <c r="AU11" i="22"/>
  <c r="N11" i="22"/>
  <c r="N10" i="22"/>
  <c r="N9" i="22"/>
  <c r="AV8" i="22"/>
  <c r="AU8" i="22"/>
  <c r="N8" i="22"/>
  <c r="AV7" i="22"/>
  <c r="AU7" i="22"/>
  <c r="N7" i="22"/>
  <c r="AU6" i="22"/>
  <c r="N5" i="22"/>
  <c r="AV3" i="22"/>
  <c r="B16" i="15" s="1"/>
  <c r="M3" i="16"/>
  <c r="M5" i="16"/>
  <c r="M9" i="16"/>
  <c r="M13" i="16"/>
  <c r="M15" i="19"/>
  <c r="L15" i="19"/>
  <c r="K15" i="19"/>
  <c r="J15" i="19"/>
  <c r="I15" i="19"/>
  <c r="H15" i="19"/>
  <c r="G15" i="19"/>
  <c r="F15" i="19"/>
  <c r="E15" i="19"/>
  <c r="D15" i="19"/>
  <c r="C15" i="19"/>
  <c r="B15" i="19"/>
  <c r="AV50" i="20"/>
  <c r="AU50" i="20"/>
  <c r="AV49" i="20"/>
  <c r="AU49" i="20"/>
  <c r="AV48" i="20"/>
  <c r="AU48" i="20"/>
  <c r="AV47" i="20"/>
  <c r="AU47" i="20"/>
  <c r="AV46" i="20"/>
  <c r="AU46" i="20"/>
  <c r="AV45" i="20"/>
  <c r="AU45" i="20"/>
  <c r="AV44" i="20"/>
  <c r="AU44" i="20"/>
  <c r="AV43" i="20"/>
  <c r="AU43" i="20"/>
  <c r="AV42" i="20"/>
  <c r="AU42" i="20"/>
  <c r="AV41" i="20"/>
  <c r="AU41" i="20"/>
  <c r="AV40" i="20"/>
  <c r="AU40" i="20"/>
  <c r="AV39" i="20"/>
  <c r="AU39" i="20"/>
  <c r="AV38" i="20"/>
  <c r="AU38" i="20"/>
  <c r="AV37" i="20"/>
  <c r="AU37" i="20"/>
  <c r="AV36" i="20"/>
  <c r="AU36" i="20"/>
  <c r="AV35" i="20"/>
  <c r="AU35" i="20"/>
  <c r="AV34" i="20"/>
  <c r="AU34" i="20"/>
  <c r="AV33" i="20"/>
  <c r="AU33" i="20"/>
  <c r="AV32" i="20"/>
  <c r="AU32" i="20"/>
  <c r="AV31" i="20"/>
  <c r="AU31" i="20"/>
  <c r="AV30" i="20"/>
  <c r="AU30" i="20"/>
  <c r="AV29" i="20"/>
  <c r="AU29" i="20"/>
  <c r="AV28" i="20"/>
  <c r="AU28" i="20"/>
  <c r="AV27" i="20"/>
  <c r="AU27" i="20"/>
  <c r="AV26" i="20"/>
  <c r="AU26" i="20"/>
  <c r="AV25" i="20"/>
  <c r="AU25" i="20"/>
  <c r="AV24" i="20"/>
  <c r="AU24" i="20"/>
  <c r="AV23" i="20"/>
  <c r="AU23" i="20"/>
  <c r="AV22" i="20"/>
  <c r="AU22" i="20"/>
  <c r="AV21" i="20"/>
  <c r="AU21" i="20"/>
  <c r="AV20" i="20"/>
  <c r="AU20" i="20"/>
  <c r="AV19" i="20"/>
  <c r="AU19" i="20"/>
  <c r="AV18" i="20"/>
  <c r="AU18" i="20"/>
  <c r="AV17" i="20"/>
  <c r="AU17" i="20"/>
  <c r="AV15" i="20"/>
  <c r="AU15" i="20"/>
  <c r="AV14" i="20"/>
  <c r="AU14" i="20"/>
  <c r="AV13" i="20"/>
  <c r="AU13" i="20"/>
  <c r="AV12" i="20"/>
  <c r="AU12" i="20"/>
  <c r="AV11" i="20"/>
  <c r="AU11" i="20"/>
  <c r="AV8" i="20"/>
  <c r="AU8" i="20"/>
  <c r="AV7" i="20"/>
  <c r="AU7" i="20"/>
  <c r="AV6" i="20"/>
  <c r="AU6" i="20"/>
  <c r="AV3" i="20"/>
  <c r="Q1" i="20" s="1"/>
  <c r="N5" i="19"/>
  <c r="M2" i="16" s="1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N6" i="14"/>
  <c r="N5" i="14"/>
  <c r="AV3" i="19"/>
  <c r="AV6" i="19"/>
  <c r="AV50" i="19"/>
  <c r="AU50" i="19"/>
  <c r="AV49" i="19"/>
  <c r="AU49" i="19"/>
  <c r="N49" i="19"/>
  <c r="M46" i="16" s="1"/>
  <c r="AV48" i="19"/>
  <c r="AU48" i="19"/>
  <c r="N48" i="19"/>
  <c r="M45" i="16" s="1"/>
  <c r="AV47" i="19"/>
  <c r="AU47" i="19"/>
  <c r="N47" i="19"/>
  <c r="M44" i="16" s="1"/>
  <c r="AV46" i="19"/>
  <c r="AU46" i="19"/>
  <c r="N46" i="19"/>
  <c r="M43" i="16" s="1"/>
  <c r="AV45" i="19"/>
  <c r="AU45" i="19"/>
  <c r="N45" i="19"/>
  <c r="M42" i="16" s="1"/>
  <c r="AV44" i="19"/>
  <c r="AU44" i="19"/>
  <c r="N44" i="19"/>
  <c r="M41" i="16" s="1"/>
  <c r="AV43" i="19"/>
  <c r="AU43" i="19"/>
  <c r="N43" i="19"/>
  <c r="M40" i="16" s="1"/>
  <c r="AV42" i="19"/>
  <c r="AU42" i="19"/>
  <c r="N42" i="19"/>
  <c r="M39" i="16" s="1"/>
  <c r="AV41" i="19"/>
  <c r="AU41" i="19"/>
  <c r="N41" i="19"/>
  <c r="M38" i="16" s="1"/>
  <c r="AV40" i="19"/>
  <c r="AU40" i="19"/>
  <c r="N40" i="19"/>
  <c r="M37" i="16" s="1"/>
  <c r="AV39" i="19"/>
  <c r="AU39" i="19"/>
  <c r="N39" i="19"/>
  <c r="M36" i="16" s="1"/>
  <c r="AV38" i="19"/>
  <c r="AU38" i="19"/>
  <c r="N38" i="19"/>
  <c r="M35" i="16" s="1"/>
  <c r="AV37" i="19"/>
  <c r="AU37" i="19"/>
  <c r="N37" i="19"/>
  <c r="M34" i="16" s="1"/>
  <c r="AV36" i="19"/>
  <c r="AU36" i="19"/>
  <c r="N36" i="19"/>
  <c r="M33" i="16" s="1"/>
  <c r="AV35" i="19"/>
  <c r="AU35" i="19"/>
  <c r="N35" i="19"/>
  <c r="M32" i="16" s="1"/>
  <c r="AV34" i="19"/>
  <c r="AU34" i="19"/>
  <c r="N34" i="19"/>
  <c r="M31" i="16" s="1"/>
  <c r="AV33" i="19"/>
  <c r="AU33" i="19"/>
  <c r="N33" i="19"/>
  <c r="M30" i="16" s="1"/>
  <c r="AV32" i="19"/>
  <c r="AU32" i="19"/>
  <c r="N32" i="19"/>
  <c r="M29" i="16" s="1"/>
  <c r="AV31" i="19"/>
  <c r="AU31" i="19"/>
  <c r="N31" i="19"/>
  <c r="M28" i="16" s="1"/>
  <c r="AV30" i="19"/>
  <c r="AU30" i="19"/>
  <c r="N30" i="19"/>
  <c r="M27" i="16" s="1"/>
  <c r="AV29" i="19"/>
  <c r="AU29" i="19"/>
  <c r="N29" i="19"/>
  <c r="M26" i="16" s="1"/>
  <c r="AV28" i="19"/>
  <c r="AU28" i="19"/>
  <c r="N28" i="19"/>
  <c r="M25" i="16" s="1"/>
  <c r="AV27" i="19"/>
  <c r="AU27" i="19"/>
  <c r="N27" i="19"/>
  <c r="M24" i="16" s="1"/>
  <c r="AV26" i="19"/>
  <c r="AU26" i="19"/>
  <c r="N26" i="19"/>
  <c r="M23" i="16" s="1"/>
  <c r="AV25" i="19"/>
  <c r="AU25" i="19"/>
  <c r="N25" i="19"/>
  <c r="M22" i="16" s="1"/>
  <c r="AV24" i="19"/>
  <c r="AU24" i="19"/>
  <c r="N24" i="19"/>
  <c r="M21" i="16" s="1"/>
  <c r="AV23" i="19"/>
  <c r="AU23" i="19"/>
  <c r="N23" i="19"/>
  <c r="M20" i="16" s="1"/>
  <c r="AV22" i="19"/>
  <c r="AU22" i="19"/>
  <c r="N22" i="19"/>
  <c r="M19" i="16" s="1"/>
  <c r="AV21" i="19"/>
  <c r="AU21" i="19"/>
  <c r="N21" i="19"/>
  <c r="M18" i="16" s="1"/>
  <c r="AV20" i="19"/>
  <c r="AU20" i="19"/>
  <c r="N20" i="19"/>
  <c r="M17" i="16" s="1"/>
  <c r="AV19" i="19"/>
  <c r="AU19" i="19"/>
  <c r="N19" i="19"/>
  <c r="M16" i="16" s="1"/>
  <c r="AV18" i="19"/>
  <c r="AU18" i="19"/>
  <c r="N18" i="19"/>
  <c r="M15" i="16" s="1"/>
  <c r="AV17" i="19"/>
  <c r="AU17" i="19"/>
  <c r="N17" i="19"/>
  <c r="M14" i="16" s="1"/>
  <c r="N16" i="19"/>
  <c r="AV15" i="19"/>
  <c r="AU15" i="19"/>
  <c r="AV14" i="19"/>
  <c r="AU14" i="19"/>
  <c r="N14" i="19"/>
  <c r="M11" i="16" s="1"/>
  <c r="AV13" i="19"/>
  <c r="AU13" i="19"/>
  <c r="N13" i="19"/>
  <c r="M10" i="16" s="1"/>
  <c r="AV12" i="19"/>
  <c r="AU12" i="19"/>
  <c r="N12" i="19"/>
  <c r="AV11" i="19"/>
  <c r="AU11" i="19"/>
  <c r="N11" i="19"/>
  <c r="M8" i="16" s="1"/>
  <c r="N10" i="19"/>
  <c r="M7" i="16" s="1"/>
  <c r="N9" i="19"/>
  <c r="M6" i="16" s="1"/>
  <c r="AV8" i="19"/>
  <c r="AU8" i="19"/>
  <c r="N8" i="19"/>
  <c r="AV7" i="19"/>
  <c r="AU7" i="19"/>
  <c r="N7" i="19"/>
  <c r="M4" i="16" s="1"/>
  <c r="AU6" i="19"/>
  <c r="N6" i="19"/>
  <c r="Q1" i="22" l="1"/>
  <c r="G2" i="17"/>
  <c r="N15" i="19"/>
  <c r="M12" i="16" s="1"/>
  <c r="Q1" i="19"/>
  <c r="B15" i="12"/>
  <c r="C15" i="12"/>
  <c r="D15" i="12"/>
  <c r="E15" i="12"/>
  <c r="F15" i="12"/>
  <c r="G15" i="12"/>
  <c r="H15" i="12"/>
  <c r="I15" i="12"/>
  <c r="J15" i="12"/>
  <c r="K15" i="12"/>
  <c r="L15" i="12"/>
  <c r="M15" i="12"/>
  <c r="N49" i="12"/>
  <c r="N48" i="12"/>
  <c r="N47" i="12"/>
  <c r="N46" i="12"/>
  <c r="N45" i="12"/>
  <c r="N44" i="12"/>
  <c r="N43" i="12"/>
  <c r="N42" i="12"/>
  <c r="N41" i="12"/>
  <c r="N40" i="12"/>
  <c r="N39" i="12"/>
  <c r="N38" i="12"/>
  <c r="N37" i="12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4" i="12"/>
  <c r="N13" i="12"/>
  <c r="N12" i="12"/>
  <c r="N11" i="12"/>
  <c r="N10" i="12"/>
  <c r="N9" i="12"/>
  <c r="N8" i="12"/>
  <c r="N7" i="12"/>
  <c r="N6" i="12"/>
  <c r="N5" i="12"/>
  <c r="M15" i="11"/>
  <c r="L15" i="11"/>
  <c r="K15" i="11"/>
  <c r="J15" i="11"/>
  <c r="I15" i="11"/>
  <c r="H15" i="11"/>
  <c r="G15" i="11"/>
  <c r="F15" i="11"/>
  <c r="E15" i="11"/>
  <c r="D15" i="11"/>
  <c r="C15" i="11"/>
  <c r="B15" i="11"/>
  <c r="N49" i="11"/>
  <c r="N48" i="11"/>
  <c r="N47" i="11"/>
  <c r="N46" i="11"/>
  <c r="N45" i="11"/>
  <c r="N44" i="11"/>
  <c r="N43" i="11"/>
  <c r="N42" i="11"/>
  <c r="N41" i="11"/>
  <c r="N40" i="11"/>
  <c r="N39" i="11"/>
  <c r="N38" i="11"/>
  <c r="N37" i="11"/>
  <c r="N36" i="11"/>
  <c r="N35" i="11"/>
  <c r="N34" i="11"/>
  <c r="N33" i="11"/>
  <c r="N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4" i="11"/>
  <c r="N13" i="11"/>
  <c r="N12" i="11"/>
  <c r="N11" i="11"/>
  <c r="N10" i="11"/>
  <c r="N9" i="11"/>
  <c r="N8" i="11"/>
  <c r="N7" i="11"/>
  <c r="N6" i="11"/>
  <c r="N5" i="11"/>
  <c r="M15" i="10"/>
  <c r="L15" i="10"/>
  <c r="K15" i="10"/>
  <c r="J15" i="10"/>
  <c r="I15" i="10"/>
  <c r="H15" i="10"/>
  <c r="E15" i="10"/>
  <c r="G15" i="10"/>
  <c r="F15" i="10"/>
  <c r="D15" i="10"/>
  <c r="C15" i="10"/>
  <c r="N49" i="10"/>
  <c r="N48" i="10"/>
  <c r="N47" i="10"/>
  <c r="N46" i="10"/>
  <c r="N45" i="10"/>
  <c r="N44" i="10"/>
  <c r="N43" i="10"/>
  <c r="N42" i="10"/>
  <c r="N41" i="10"/>
  <c r="N40" i="10"/>
  <c r="N39" i="10"/>
  <c r="N38" i="10"/>
  <c r="N37" i="10"/>
  <c r="N36" i="10"/>
  <c r="N35" i="10"/>
  <c r="N34" i="10"/>
  <c r="N33" i="10"/>
  <c r="N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B15" i="10"/>
  <c r="N14" i="10"/>
  <c r="N13" i="10"/>
  <c r="N12" i="10"/>
  <c r="N11" i="10"/>
  <c r="N10" i="10"/>
  <c r="N9" i="10"/>
  <c r="N8" i="10"/>
  <c r="N7" i="10"/>
  <c r="N6" i="10"/>
  <c r="N5" i="10"/>
  <c r="M15" i="9"/>
  <c r="L15" i="9"/>
  <c r="K15" i="9"/>
  <c r="J15" i="9"/>
  <c r="I15" i="9"/>
  <c r="H15" i="9"/>
  <c r="G15" i="9"/>
  <c r="F15" i="9"/>
  <c r="E15" i="9"/>
  <c r="D15" i="9"/>
  <c r="C15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B15" i="9"/>
  <c r="N14" i="9"/>
  <c r="N13" i="9"/>
  <c r="N12" i="9"/>
  <c r="N11" i="9"/>
  <c r="N10" i="9"/>
  <c r="N9" i="9"/>
  <c r="N8" i="9"/>
  <c r="N7" i="9"/>
  <c r="N6" i="9"/>
  <c r="N5" i="9"/>
  <c r="M15" i="8"/>
  <c r="L15" i="8"/>
  <c r="K15" i="8"/>
  <c r="J15" i="8"/>
  <c r="I15" i="8"/>
  <c r="H15" i="8"/>
  <c r="G15" i="8"/>
  <c r="F15" i="8"/>
  <c r="E15" i="8"/>
  <c r="C15" i="7"/>
  <c r="D15" i="7"/>
  <c r="E15" i="7"/>
  <c r="F15" i="7"/>
  <c r="G15" i="7"/>
  <c r="H15" i="7"/>
  <c r="I15" i="7"/>
  <c r="J15" i="7"/>
  <c r="K15" i="7"/>
  <c r="L15" i="7"/>
  <c r="M15" i="7"/>
  <c r="D15" i="8"/>
  <c r="C15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B15" i="8"/>
  <c r="N14" i="8"/>
  <c r="N13" i="8"/>
  <c r="N12" i="8"/>
  <c r="N11" i="8"/>
  <c r="N10" i="8"/>
  <c r="N9" i="8"/>
  <c r="N8" i="8"/>
  <c r="N7" i="8"/>
  <c r="N6" i="8"/>
  <c r="N5" i="8"/>
  <c r="N15" i="6"/>
  <c r="B15" i="7"/>
  <c r="N6" i="7"/>
  <c r="N12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4" i="7"/>
  <c r="N13" i="7"/>
  <c r="N11" i="7"/>
  <c r="N10" i="7"/>
  <c r="N9" i="7"/>
  <c r="N8" i="7"/>
  <c r="N7" i="7"/>
  <c r="N5" i="7"/>
  <c r="N15" i="5"/>
  <c r="N5" i="6"/>
  <c r="N6" i="6"/>
  <c r="N7" i="6"/>
  <c r="N8" i="6"/>
  <c r="N9" i="6"/>
  <c r="N10" i="6"/>
  <c r="N11" i="6"/>
  <c r="N12" i="6"/>
  <c r="N13" i="6"/>
  <c r="N14" i="6"/>
  <c r="N10" i="4"/>
  <c r="N12" i="4"/>
  <c r="N5" i="4"/>
  <c r="N6" i="1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2" i="5"/>
  <c r="N14" i="5"/>
  <c r="N9" i="5"/>
  <c r="N7" i="5"/>
  <c r="N5" i="5"/>
  <c r="N6" i="5"/>
  <c r="N8" i="5"/>
  <c r="N10" i="5"/>
  <c r="N11" i="5"/>
  <c r="N13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6" i="4"/>
  <c r="N7" i="4"/>
  <c r="N8" i="4"/>
  <c r="N9" i="4"/>
  <c r="N11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" i="1"/>
  <c r="N7" i="1"/>
  <c r="N8" i="1"/>
  <c r="N9" i="1"/>
  <c r="N10" i="1"/>
  <c r="N11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12" i="1" l="1"/>
  <c r="N15" i="7"/>
  <c r="N15" i="12"/>
  <c r="N15" i="8"/>
  <c r="N15" i="9"/>
  <c r="N15" i="10"/>
  <c r="N15" i="11"/>
</calcChain>
</file>

<file path=xl/sharedStrings.xml><?xml version="1.0" encoding="utf-8"?>
<sst xmlns="http://schemas.openxmlformats.org/spreadsheetml/2006/main" count="773" uniqueCount="70">
  <si>
    <t>PRODUCCION NACIONAL</t>
  </si>
  <si>
    <t>IMPORTACIONES DE CRUDO</t>
  </si>
  <si>
    <t>IMPORTACIONES DE PROD. INTERMEDIOS Y MAT. AUXILIARES</t>
  </si>
  <si>
    <t>VARIACION DE STOCKS DE CRUDOS (Ef-Ei)</t>
  </si>
  <si>
    <t>APROVISIONAMIENTO DE PROD. INTERMEDIOS Y MAT. AUXILIARES</t>
  </si>
  <si>
    <t>PRODUCTOS TRASPASADOS Y BACKFLOWS</t>
  </si>
  <si>
    <t>CONSUMO DIRECTO DE CRUDO</t>
  </si>
  <si>
    <t>TOTAL PROCESADO</t>
  </si>
  <si>
    <t>PERDIDAS DE REFINO</t>
  </si>
  <si>
    <t>PRODUCCION BRUTA DE REFINERIA</t>
  </si>
  <si>
    <t>Acumulado 2013</t>
  </si>
  <si>
    <t>AÑO 2012</t>
  </si>
  <si>
    <t>PROCESADO DE CRUDO</t>
  </si>
  <si>
    <t>Unidad: kt</t>
  </si>
  <si>
    <t>Gas Refinería</t>
  </si>
  <si>
    <t>Etano</t>
  </si>
  <si>
    <t>Butano</t>
  </si>
  <si>
    <t>Propano</t>
  </si>
  <si>
    <t>Nafta</t>
  </si>
  <si>
    <t>Gasolina 97 I.O.</t>
  </si>
  <si>
    <t>Gasolina 95 I.O.</t>
  </si>
  <si>
    <t>Gasolina 98 I.O.</t>
  </si>
  <si>
    <t>Gasolina de Aviación</t>
  </si>
  <si>
    <t>Otras Gasolinas</t>
  </si>
  <si>
    <t>Bioetanol</t>
  </si>
  <si>
    <t>Gasolinas Mezcla</t>
  </si>
  <si>
    <t>Queroseno aviac. Jet A1</t>
  </si>
  <si>
    <t>Queroseno aviac. Jet A2</t>
  </si>
  <si>
    <t>Otros Querosenos</t>
  </si>
  <si>
    <t>Gasóleo A</t>
  </si>
  <si>
    <t>Gasóleo A 10 PPM</t>
  </si>
  <si>
    <t>Gasóleo B</t>
  </si>
  <si>
    <t>Gasóleo C</t>
  </si>
  <si>
    <t>Gasóleo para uso marítimo</t>
  </si>
  <si>
    <t>Diésel para uso marítimo</t>
  </si>
  <si>
    <t>Otros Gasóleos</t>
  </si>
  <si>
    <t>Biodiesel</t>
  </si>
  <si>
    <t>Biodiesel Mezcla</t>
  </si>
  <si>
    <t>Fuelóleo BIA</t>
  </si>
  <si>
    <t>Fuelóleo de refineria</t>
  </si>
  <si>
    <t>Otros Fuelóleos</t>
  </si>
  <si>
    <t>Aceites y bases lubricantes</t>
  </si>
  <si>
    <t>Productos asfálticos</t>
  </si>
  <si>
    <t>Disolventes</t>
  </si>
  <si>
    <t>Parafinas</t>
  </si>
  <si>
    <t>Coque de petróleo</t>
  </si>
  <si>
    <t>MOVIMIENTO DE CRUDOS Y OBTENCIÓN DE PRODUCTOS PETROLÍFEROS</t>
  </si>
  <si>
    <t>Acumulado 2014</t>
  </si>
  <si>
    <t>Acumulado 2015</t>
  </si>
  <si>
    <t>Acumulado 2016</t>
  </si>
  <si>
    <t>Acumulado 2017</t>
  </si>
  <si>
    <t>Acumulado 2018</t>
  </si>
  <si>
    <t>Otros Productos</t>
  </si>
  <si>
    <t>Acumulado 2019</t>
  </si>
  <si>
    <t>Acumulado 2020</t>
  </si>
  <si>
    <t>Acumulado 2021</t>
  </si>
  <si>
    <t>Acumulado 2022</t>
  </si>
  <si>
    <t>Otros combustiibles para uso marítimo</t>
  </si>
  <si>
    <t>Acumulado 2023</t>
  </si>
  <si>
    <t>ESTADÍSTICA DE REFINERÍAS DE PETRÓLEO</t>
  </si>
  <si>
    <t>Otros combustibles para uso marítimo</t>
  </si>
  <si>
    <t>Acumulado 2024</t>
  </si>
  <si>
    <t>MOVIMIENTO DE CRUDOS Y OBTENCIÓN DE PRODUCTOS PETROLÍFEROS - AÑO 2024- EVOLUCIÓN MENSUAL</t>
  </si>
  <si>
    <t>Acumulado 2025</t>
  </si>
  <si>
    <t>MOVIMIENTO DE CRUDOS Y OBTENCIÓN DE PRODUCTOS PETROLÍFEROS - AÑO 2025- EVOLUCIÓN MENSUAL</t>
  </si>
  <si>
    <t>Acumulado 2026</t>
  </si>
  <si>
    <t>MOVIMIENTO DE CRUDOS Y OBTENCIÓN DE PRODUCTOS PETROLÍFEROS - AÑO 2026- EVOLUCIÓN MENSUAL</t>
  </si>
  <si>
    <t>Información provisional elaborada a partir de la información disponible a fecha 14 de julio de 2026</t>
  </si>
  <si>
    <t xml:space="preserve">,,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</si>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</sst>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0.000"/>
    <numFmt numFmtId="166" formatCode="0.000_ ;[Red]\-0.000\ "/>
    <numFmt numFmtId="167" formatCode="mmmm\ yyyy"/>
    <numFmt numFmtId="168" formatCode="0.0"/>
  </numFmts>
  <fonts count="27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2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i/>
      <sz val="12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24"/>
      <color rgb="FF366092"/>
      <name val="Arial"/>
      <family val="2"/>
    </font>
    <font>
      <sz val="24"/>
      <color rgb="FF366092"/>
      <name val="Arial"/>
      <family val="2"/>
    </font>
    <font>
      <sz val="10"/>
      <color rgb="FF366092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FF0000"/>
      <name val="Arial"/>
      <family val="2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sz val="12"/>
      <color theme="0"/>
      <name val="Arial"/>
      <family val="2"/>
      <scheme val="minor"/>
    </font>
    <font>
      <sz val="8"/>
      <name val="Arial"/>
      <family val="2"/>
    </font>
    <font>
      <b/>
      <sz val="11"/>
      <name val="Arial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DD"/>
        <bgColor indexed="64"/>
      </patternFill>
    </fill>
    <fill>
      <patternFill patternType="solid">
        <fgColor rgb="FFFFFFDD"/>
        <bgColor rgb="FFFFFFDD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0" fillId="0" borderId="0" applyNumberFormat="0" applyBorder="0" applyProtection="0"/>
    <xf numFmtId="0" fontId="11" fillId="0" borderId="0" applyNumberFormat="0" applyFont="0" applyBorder="0" applyProtection="0"/>
    <xf numFmtId="0" fontId="11" fillId="0" borderId="0"/>
  </cellStyleXfs>
  <cellXfs count="97">
    <xf numFmtId="0" fontId="0" fillId="0" borderId="0" xfId="0"/>
    <xf numFmtId="0" fontId="3" fillId="0" borderId="0" xfId="0" applyFont="1"/>
    <xf numFmtId="3" fontId="4" fillId="2" borderId="0" xfId="0" applyNumberFormat="1" applyFont="1" applyFill="1"/>
    <xf numFmtId="3" fontId="4" fillId="2" borderId="1" xfId="0" applyNumberFormat="1" applyFont="1" applyFill="1" applyBorder="1"/>
    <xf numFmtId="3" fontId="4" fillId="2" borderId="2" xfId="0" applyNumberFormat="1" applyFont="1" applyFill="1" applyBorder="1"/>
    <xf numFmtId="3" fontId="4" fillId="2" borderId="3" xfId="0" applyNumberFormat="1" applyFont="1" applyFill="1" applyBorder="1"/>
    <xf numFmtId="3" fontId="4" fillId="2" borderId="4" xfId="0" applyNumberFormat="1" applyFont="1" applyFill="1" applyBorder="1"/>
    <xf numFmtId="3" fontId="4" fillId="2" borderId="5" xfId="0" applyNumberFormat="1" applyFont="1" applyFill="1" applyBorder="1"/>
    <xf numFmtId="0" fontId="5" fillId="0" borderId="0" xfId="0" applyFont="1" applyAlignment="1">
      <alignment horizontal="center"/>
    </xf>
    <xf numFmtId="3" fontId="4" fillId="2" borderId="1" xfId="0" applyNumberFormat="1" applyFont="1" applyFill="1" applyBorder="1" applyAlignment="1">
      <alignment horizontal="left" indent="1"/>
    </xf>
    <xf numFmtId="3" fontId="4" fillId="2" borderId="5" xfId="0" applyNumberFormat="1" applyFont="1" applyFill="1" applyBorder="1" applyAlignment="1">
      <alignment horizontal="left" indent="1"/>
    </xf>
    <xf numFmtId="3" fontId="6" fillId="2" borderId="6" xfId="0" applyNumberFormat="1" applyFont="1" applyFill="1" applyBorder="1" applyAlignment="1">
      <alignment vertical="center"/>
    </xf>
    <xf numFmtId="17" fontId="7" fillId="2" borderId="7" xfId="0" applyNumberFormat="1" applyFont="1" applyFill="1" applyBorder="1" applyAlignment="1">
      <alignment vertical="center"/>
    </xf>
    <xf numFmtId="17" fontId="7" fillId="2" borderId="8" xfId="0" applyNumberFormat="1" applyFont="1" applyFill="1" applyBorder="1" applyAlignment="1">
      <alignment vertical="center"/>
    </xf>
    <xf numFmtId="17" fontId="8" fillId="2" borderId="8" xfId="0" applyNumberFormat="1" applyFont="1" applyFill="1" applyBorder="1" applyAlignment="1">
      <alignment vertical="center"/>
    </xf>
    <xf numFmtId="17" fontId="7" fillId="2" borderId="9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3" fontId="4" fillId="2" borderId="6" xfId="0" applyNumberFormat="1" applyFont="1" applyFill="1" applyBorder="1" applyAlignment="1">
      <alignment vertical="center"/>
    </xf>
    <xf numFmtId="3" fontId="4" fillId="2" borderId="7" xfId="0" applyNumberFormat="1" applyFont="1" applyFill="1" applyBorder="1" applyAlignment="1">
      <alignment vertical="center"/>
    </xf>
    <xf numFmtId="3" fontId="4" fillId="2" borderId="8" xfId="0" applyNumberFormat="1" applyFont="1" applyFill="1" applyBorder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3" fontId="8" fillId="2" borderId="10" xfId="0" applyNumberFormat="1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3" fontId="8" fillId="2" borderId="0" xfId="0" applyNumberFormat="1" applyFont="1" applyFill="1" applyAlignment="1">
      <alignment vertical="center"/>
    </xf>
    <xf numFmtId="3" fontId="8" fillId="2" borderId="2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4" fillId="2" borderId="2" xfId="0" applyNumberFormat="1" applyFont="1" applyFill="1" applyBorder="1" applyAlignment="1">
      <alignment vertical="center"/>
    </xf>
    <xf numFmtId="3" fontId="0" fillId="0" borderId="0" xfId="0" applyNumberForma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vertical="center"/>
    </xf>
    <xf numFmtId="1" fontId="2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165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center"/>
    </xf>
    <xf numFmtId="1" fontId="0" fillId="0" borderId="0" xfId="0" applyNumberFormat="1"/>
    <xf numFmtId="165" fontId="0" fillId="0" borderId="0" xfId="0" applyNumberFormat="1" applyAlignment="1">
      <alignment vertical="center"/>
    </xf>
    <xf numFmtId="165" fontId="3" fillId="0" borderId="0" xfId="0" applyNumberFormat="1" applyFont="1" applyAlignment="1">
      <alignment vertical="center"/>
    </xf>
    <xf numFmtId="164" fontId="0" fillId="0" borderId="0" xfId="0" applyNumberFormat="1"/>
    <xf numFmtId="3" fontId="9" fillId="2" borderId="8" xfId="0" applyNumberFormat="1" applyFont="1" applyFill="1" applyBorder="1" applyAlignment="1">
      <alignment vertical="center"/>
    </xf>
    <xf numFmtId="3" fontId="9" fillId="2" borderId="0" xfId="0" applyNumberFormat="1" applyFont="1" applyFill="1" applyAlignment="1">
      <alignment vertical="center"/>
    </xf>
    <xf numFmtId="164" fontId="0" fillId="0" borderId="0" xfId="0" applyNumberFormat="1" applyAlignment="1">
      <alignment vertical="center"/>
    </xf>
    <xf numFmtId="0" fontId="10" fillId="0" borderId="0" xfId="2"/>
    <xf numFmtId="0" fontId="0" fillId="0" borderId="0" xfId="3" applyFont="1"/>
    <xf numFmtId="0" fontId="12" fillId="0" borderId="0" xfId="2" applyFont="1"/>
    <xf numFmtId="0" fontId="14" fillId="0" borderId="0" xfId="2" applyFont="1" applyAlignment="1">
      <alignment horizontal="center" wrapText="1"/>
    </xf>
    <xf numFmtId="0" fontId="15" fillId="0" borderId="0" xfId="2" applyFont="1"/>
    <xf numFmtId="0" fontId="16" fillId="0" borderId="0" xfId="0" applyFont="1"/>
    <xf numFmtId="0" fontId="17" fillId="0" borderId="0" xfId="0" applyFont="1" applyAlignment="1">
      <alignment vertical="center"/>
    </xf>
    <xf numFmtId="1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3" fontId="18" fillId="3" borderId="11" xfId="4" applyNumberFormat="1" applyFont="1" applyFill="1" applyBorder="1" applyAlignment="1">
      <alignment vertical="center" wrapText="1"/>
    </xf>
    <xf numFmtId="1" fontId="16" fillId="0" borderId="12" xfId="4" applyNumberFormat="1" applyFont="1" applyBorder="1" applyAlignment="1">
      <alignment horizontal="right" wrapText="1"/>
    </xf>
    <xf numFmtId="0" fontId="11" fillId="0" borderId="0" xfId="4"/>
    <xf numFmtId="3" fontId="17" fillId="3" borderId="11" xfId="4" applyNumberFormat="1" applyFont="1" applyFill="1" applyBorder="1" applyAlignment="1">
      <alignment vertical="center"/>
    </xf>
    <xf numFmtId="3" fontId="17" fillId="0" borderId="11" xfId="4" applyNumberFormat="1" applyFont="1" applyBorder="1" applyAlignment="1">
      <alignment vertical="center"/>
    </xf>
    <xf numFmtId="2" fontId="11" fillId="0" borderId="12" xfId="4" applyNumberFormat="1" applyBorder="1" applyAlignment="1">
      <alignment horizontal="right"/>
    </xf>
    <xf numFmtId="3" fontId="11" fillId="0" borderId="12" xfId="4" applyNumberFormat="1" applyBorder="1" applyAlignment="1">
      <alignment horizontal="right"/>
    </xf>
    <xf numFmtId="1" fontId="11" fillId="0" borderId="12" xfId="4" applyNumberFormat="1" applyBorder="1" applyAlignment="1">
      <alignment horizontal="right"/>
    </xf>
    <xf numFmtId="3" fontId="19" fillId="3" borderId="13" xfId="4" applyNumberFormat="1" applyFont="1" applyFill="1" applyBorder="1" applyAlignment="1">
      <alignment vertical="center"/>
    </xf>
    <xf numFmtId="3" fontId="17" fillId="3" borderId="13" xfId="4" applyNumberFormat="1" applyFont="1" applyFill="1" applyBorder="1" applyAlignment="1">
      <alignment vertical="center"/>
    </xf>
    <xf numFmtId="3" fontId="17" fillId="3" borderId="13" xfId="4" applyNumberFormat="1" applyFont="1" applyFill="1" applyBorder="1" applyAlignment="1">
      <alignment horizontal="left" indent="1"/>
    </xf>
    <xf numFmtId="3" fontId="17" fillId="3" borderId="14" xfId="4" applyNumberFormat="1" applyFont="1" applyFill="1" applyBorder="1" applyAlignment="1">
      <alignment horizontal="left" indent="1"/>
    </xf>
    <xf numFmtId="1" fontId="11" fillId="0" borderId="0" xfId="4" applyNumberFormat="1"/>
    <xf numFmtId="1" fontId="20" fillId="0" borderId="0" xfId="4" applyNumberFormat="1" applyFont="1"/>
    <xf numFmtId="0" fontId="19" fillId="0" borderId="0" xfId="0" applyFont="1"/>
    <xf numFmtId="0" fontId="22" fillId="0" borderId="0" xfId="0" applyFont="1"/>
    <xf numFmtId="167" fontId="22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3" fontId="22" fillId="0" borderId="0" xfId="0" applyNumberFormat="1" applyFont="1" applyAlignment="1">
      <alignment vertical="center"/>
    </xf>
    <xf numFmtId="168" fontId="22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68" fontId="21" fillId="0" borderId="0" xfId="0" applyNumberFormat="1" applyFont="1" applyAlignment="1">
      <alignment vertical="center"/>
    </xf>
    <xf numFmtId="3" fontId="22" fillId="0" borderId="0" xfId="0" applyNumberFormat="1" applyFont="1"/>
    <xf numFmtId="168" fontId="22" fillId="0" borderId="0" xfId="0" applyNumberFormat="1" applyFont="1"/>
    <xf numFmtId="167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168" fontId="3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68" fontId="25" fillId="0" borderId="0" xfId="0" applyNumberFormat="1" applyFont="1" applyAlignment="1">
      <alignment vertical="center"/>
    </xf>
    <xf numFmtId="3" fontId="3" fillId="0" borderId="0" xfId="0" applyNumberFormat="1" applyFont="1"/>
    <xf numFmtId="168" fontId="3" fillId="0" borderId="0" xfId="0" applyNumberFormat="1" applyFont="1"/>
    <xf numFmtId="0" fontId="26" fillId="0" borderId="0" xfId="4" applyFont="1"/>
    <xf numFmtId="1" fontId="16" fillId="0" borderId="0" xfId="4" applyNumberFormat="1" applyFont="1" applyAlignment="1">
      <alignment horizontal="right" wrapText="1"/>
    </xf>
    <xf numFmtId="1" fontId="11" fillId="0" borderId="0" xfId="4" applyNumberFormat="1" applyAlignment="1">
      <alignment horizontal="right"/>
    </xf>
    <xf numFmtId="0" fontId="13" fillId="0" borderId="0" xfId="2" applyFont="1" applyAlignment="1">
      <alignment horizontal="center" wrapText="1"/>
    </xf>
    <xf numFmtId="0" fontId="13" fillId="0" borderId="0" xfId="2" applyNumberFormat="1" applyFont="1" applyAlignment="1">
      <alignment horizontal="center" vertical="center" wrapText="1"/>
    </xf>
    <xf numFmtId="0" fontId="24" fillId="0" borderId="0" xfId="2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</cellStyles>
  <dxfs count="0"/>
  <tableStyles count="0" defaultTableStyle="TableStyleMedium9" defaultPivotStyle="PivotStyleLight16"/>
  <colors>
    <mruColors>
      <color rgb="FFEF771D"/>
      <color rgb="FFFF41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PRODUCCION NACIONAL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'2024'!$A$5</c:f>
              <c:strCache>
                <c:ptCount val="1"/>
                <c:pt idx="0">
                  <c:v>PRODUCCION NACIONAL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'2024'!$B$5:$M$5</c:f>
              <c:numCache>
                <c:formatCode>#,##0</c:formatCode>
                <c:ptCount val="12"/>
                <c:pt idx="0">
                  <c:v>0</c:v>
                </c:pt>
                <c:pt idx="1">
                  <c:v>7.5999999999999998E-2</c:v>
                </c:pt>
                <c:pt idx="2">
                  <c:v>3.5999999999999997E-2</c:v>
                </c:pt>
                <c:pt idx="3">
                  <c:v>5.1999999999999998E-2</c:v>
                </c:pt>
                <c:pt idx="4">
                  <c:v>6.9000000000000006E-2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0.121</c:v>
                </c:pt>
                <c:pt idx="10">
                  <c:v>2.1999999999999999E-2</c:v>
                </c:pt>
                <c:pt idx="11">
                  <c:v>0.223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2A-44B8-A57A-A1FF53A8C8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23222024"/>
        <c:axId val="423223664"/>
      </c:barChart>
      <c:valAx>
        <c:axId val="42322366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0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2024"/>
        <c:crosses val="autoZero"/>
        <c:crossBetween val="between"/>
      </c:valAx>
      <c:dateAx>
        <c:axId val="42322202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36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Fuelóleos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'2024'!$A$40</c:f>
              <c:strCache>
                <c:ptCount val="1"/>
                <c:pt idx="0">
                  <c:v>Fuelóleo BIA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'2024'!$B$40:$M$40</c:f>
              <c:numCache>
                <c:formatCode>#,##0</c:formatCode>
                <c:ptCount val="12"/>
                <c:pt idx="0">
                  <c:v>0</c:v>
                </c:pt>
                <c:pt idx="1">
                  <c:v>1E-3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A-4765-A493-B5B9727B508D}"/>
            </c:ext>
          </c:extLst>
        </c:ser>
        <c:ser>
          <c:idx val="1"/>
          <c:order val="1"/>
          <c:tx>
            <c:strRef>
              <c:f>'2024'!$A$41</c:f>
              <c:strCache>
                <c:ptCount val="1"/>
                <c:pt idx="0">
                  <c:v>Fuelóleo de refineria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'2024'!$B$41:$M$41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3.6320000000000001</c:v>
                </c:pt>
                <c:pt idx="3">
                  <c:v>0</c:v>
                </c:pt>
                <c:pt idx="4">
                  <c:v>1.3049999999999999</c:v>
                </c:pt>
                <c:pt idx="5">
                  <c:v>0.7</c:v>
                </c:pt>
                <c:pt idx="6">
                  <c:v>0.152</c:v>
                </c:pt>
                <c:pt idx="7">
                  <c:v>0</c:v>
                </c:pt>
                <c:pt idx="8">
                  <c:v>0</c:v>
                </c:pt>
                <c:pt idx="9">
                  <c:v>2.8000000000000001E-2</c:v>
                </c:pt>
                <c:pt idx="10">
                  <c:v>1.2E-2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A-4765-A493-B5B9727B508D}"/>
            </c:ext>
          </c:extLst>
        </c:ser>
        <c:ser>
          <c:idx val="2"/>
          <c:order val="2"/>
          <c:tx>
            <c:strRef>
              <c:f>'2024'!$A$42</c:f>
              <c:strCache>
                <c:ptCount val="1"/>
                <c:pt idx="0">
                  <c:v>Otros combustibles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'2024'!$B$42:$M$42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2A-4765-A493-B5B9727B508D}"/>
            </c:ext>
          </c:extLst>
        </c:ser>
        <c:ser>
          <c:idx val="3"/>
          <c:order val="3"/>
          <c:tx>
            <c:strRef>
              <c:f>'2024'!$A$43</c:f>
              <c:strCache>
                <c:ptCount val="1"/>
                <c:pt idx="0">
                  <c:v>Otros Fuelóleos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0"/>
                  <c:y val="-4.9358969376239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2A-4765-A493-B5B9727B508D}"/>
                </c:ext>
              </c:extLst>
            </c:dLbl>
            <c:dLbl>
              <c:idx val="5"/>
              <c:layout>
                <c:manualLayout>
                  <c:x val="8.076006883047028E-3"/>
                  <c:y val="-4.9358969376239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2A-4765-A493-B5B9727B50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'2024'!$B$43:$M$43</c:f>
              <c:numCache>
                <c:formatCode>#,##0</c:formatCode>
                <c:ptCount val="12"/>
                <c:pt idx="0">
                  <c:v>450.274</c:v>
                </c:pt>
                <c:pt idx="1">
                  <c:v>328.14400000000001</c:v>
                </c:pt>
                <c:pt idx="2">
                  <c:v>407.99200000000002</c:v>
                </c:pt>
                <c:pt idx="3">
                  <c:v>432.93200000000002</c:v>
                </c:pt>
                <c:pt idx="4">
                  <c:v>451.30899999999997</c:v>
                </c:pt>
                <c:pt idx="5">
                  <c:v>425.28399999999999</c:v>
                </c:pt>
                <c:pt idx="6">
                  <c:v>416.22699999999998</c:v>
                </c:pt>
                <c:pt idx="7">
                  <c:v>384.89699999999999</c:v>
                </c:pt>
                <c:pt idx="8">
                  <c:v>376.89400000000001</c:v>
                </c:pt>
                <c:pt idx="9">
                  <c:v>322.41199999999998</c:v>
                </c:pt>
                <c:pt idx="10">
                  <c:v>271.10300000000001</c:v>
                </c:pt>
                <c:pt idx="11">
                  <c:v>383.76700000000005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2A-4765-A493-B5B9727B508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7392"/>
        <c:axId val="431324440"/>
      </c:lineChart>
      <c:valAx>
        <c:axId val="43132444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00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7392"/>
        <c:crosses val="autoZero"/>
        <c:crossBetween val="between"/>
      </c:valAx>
      <c:dateAx>
        <c:axId val="43132739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44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Productos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'2024'!$A$44</c:f>
              <c:strCache>
                <c:ptCount val="1"/>
                <c:pt idx="0">
                  <c:v>Aceites y bases lubricantes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'2024'!$B$44:$M$44</c:f>
              <c:numCache>
                <c:formatCode>#,##0</c:formatCode>
                <c:ptCount val="12"/>
                <c:pt idx="0">
                  <c:v>26.797000000000001</c:v>
                </c:pt>
                <c:pt idx="1">
                  <c:v>22.974</c:v>
                </c:pt>
                <c:pt idx="2">
                  <c:v>24.135999999999999</c:v>
                </c:pt>
                <c:pt idx="3">
                  <c:v>24.268999999999998</c:v>
                </c:pt>
                <c:pt idx="4">
                  <c:v>21.446000000000002</c:v>
                </c:pt>
                <c:pt idx="5">
                  <c:v>19.661000000000001</c:v>
                </c:pt>
                <c:pt idx="6">
                  <c:v>29.905000000000001</c:v>
                </c:pt>
                <c:pt idx="7">
                  <c:v>26.986000000000001</c:v>
                </c:pt>
                <c:pt idx="8">
                  <c:v>23.268000000000001</c:v>
                </c:pt>
                <c:pt idx="9">
                  <c:v>23.844999999999999</c:v>
                </c:pt>
                <c:pt idx="10">
                  <c:v>12.422000000000001</c:v>
                </c:pt>
                <c:pt idx="11">
                  <c:v>24.454999999999998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7-4C48-A6C3-02C47D367978}"/>
            </c:ext>
          </c:extLst>
        </c:ser>
        <c:ser>
          <c:idx val="1"/>
          <c:order val="1"/>
          <c:tx>
            <c:strRef>
              <c:f>'2024'!$A$45</c:f>
              <c:strCache>
                <c:ptCount val="1"/>
                <c:pt idx="0">
                  <c:v>Productos asfálticos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4.1648917993095058E-2"/>
                  <c:y val="6.20563273910943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E7-4C48-A6C3-02C47D367978}"/>
                </c:ext>
              </c:extLst>
            </c:dLbl>
            <c:dLbl>
              <c:idx val="6"/>
              <c:layout>
                <c:manualLayout>
                  <c:x val="-3.3377059117520855E-2"/>
                  <c:y val="5.3125740553091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E7-4C48-A6C3-02C47D367978}"/>
                </c:ext>
              </c:extLst>
            </c:dLbl>
            <c:dLbl>
              <c:idx val="7"/>
              <c:layout>
                <c:manualLayout>
                  <c:x val="-4.9920776868669366E-2"/>
                  <c:y val="4.8660447134090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E7-4C48-A6C3-02C47D3679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'2024'!$B$45:$M$45</c:f>
              <c:numCache>
                <c:formatCode>#,##0</c:formatCode>
                <c:ptCount val="12"/>
                <c:pt idx="0">
                  <c:v>120.874</c:v>
                </c:pt>
                <c:pt idx="1">
                  <c:v>138.21100000000001</c:v>
                </c:pt>
                <c:pt idx="2">
                  <c:v>163.62700000000001</c:v>
                </c:pt>
                <c:pt idx="3">
                  <c:v>177.46</c:v>
                </c:pt>
                <c:pt idx="4">
                  <c:v>137.023</c:v>
                </c:pt>
                <c:pt idx="5">
                  <c:v>156.24799999999999</c:v>
                </c:pt>
                <c:pt idx="6">
                  <c:v>175.59800000000001</c:v>
                </c:pt>
                <c:pt idx="7">
                  <c:v>174.352</c:v>
                </c:pt>
                <c:pt idx="8">
                  <c:v>180.56399999999999</c:v>
                </c:pt>
                <c:pt idx="9">
                  <c:v>165.001</c:v>
                </c:pt>
                <c:pt idx="10">
                  <c:v>123.381</c:v>
                </c:pt>
                <c:pt idx="11">
                  <c:v>156.809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6E7-4C48-A6C3-02C47D367978}"/>
            </c:ext>
          </c:extLst>
        </c:ser>
        <c:ser>
          <c:idx val="2"/>
          <c:order val="2"/>
          <c:tx>
            <c:strRef>
              <c:f>'2024'!$A$46</c:f>
              <c:strCache>
                <c:ptCount val="1"/>
                <c:pt idx="0">
                  <c:v>Disolventes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'2024'!$B$46:$M$46</c:f>
              <c:numCache>
                <c:formatCode>#,##0</c:formatCode>
                <c:ptCount val="12"/>
                <c:pt idx="0">
                  <c:v>8.6430000000000007</c:v>
                </c:pt>
                <c:pt idx="1">
                  <c:v>12.215999999999999</c:v>
                </c:pt>
                <c:pt idx="2">
                  <c:v>12.93</c:v>
                </c:pt>
                <c:pt idx="3">
                  <c:v>10.641999999999999</c:v>
                </c:pt>
                <c:pt idx="4">
                  <c:v>10.715</c:v>
                </c:pt>
                <c:pt idx="5">
                  <c:v>10.055999999999999</c:v>
                </c:pt>
                <c:pt idx="6">
                  <c:v>11.307</c:v>
                </c:pt>
                <c:pt idx="7">
                  <c:v>9.4489999999999998</c:v>
                </c:pt>
                <c:pt idx="8">
                  <c:v>10.199</c:v>
                </c:pt>
                <c:pt idx="9">
                  <c:v>9.4269999999999996</c:v>
                </c:pt>
                <c:pt idx="10">
                  <c:v>0</c:v>
                </c:pt>
                <c:pt idx="11">
                  <c:v>5.6609999999999996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6E7-4C48-A6C3-02C47D367978}"/>
            </c:ext>
          </c:extLst>
        </c:ser>
        <c:ser>
          <c:idx val="3"/>
          <c:order val="3"/>
          <c:tx>
            <c:strRef>
              <c:f>'2024'!$A$47</c:f>
              <c:strCache>
                <c:ptCount val="1"/>
                <c:pt idx="0">
                  <c:v>Parafinas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'2024'!$B$47:$M$47</c:f>
              <c:numCache>
                <c:formatCode>#,##0</c:formatCode>
                <c:ptCount val="12"/>
                <c:pt idx="0">
                  <c:v>6.7759999999999998</c:v>
                </c:pt>
                <c:pt idx="1">
                  <c:v>6.7039999999999997</c:v>
                </c:pt>
                <c:pt idx="2">
                  <c:v>6.0789999999999997</c:v>
                </c:pt>
                <c:pt idx="3">
                  <c:v>6.58</c:v>
                </c:pt>
                <c:pt idx="4">
                  <c:v>6.9459999999999997</c:v>
                </c:pt>
                <c:pt idx="5">
                  <c:v>6.45</c:v>
                </c:pt>
                <c:pt idx="6">
                  <c:v>6.3410000000000002</c:v>
                </c:pt>
                <c:pt idx="7">
                  <c:v>5.8310000000000004</c:v>
                </c:pt>
                <c:pt idx="8">
                  <c:v>5.5659999999999998</c:v>
                </c:pt>
                <c:pt idx="9">
                  <c:v>5.7</c:v>
                </c:pt>
                <c:pt idx="10">
                  <c:v>2.9910000000000001</c:v>
                </c:pt>
                <c:pt idx="11">
                  <c:v>3.887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6E7-4C48-A6C3-02C47D367978}"/>
            </c:ext>
          </c:extLst>
        </c:ser>
        <c:ser>
          <c:idx val="4"/>
          <c:order val="4"/>
          <c:tx>
            <c:strRef>
              <c:f>'2024'!$A$49</c:f>
              <c:strCache>
                <c:ptCount val="1"/>
                <c:pt idx="0">
                  <c:v>Otros Productos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4.4406204284953163E-2"/>
                  <c:y val="4.8660447134090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6E7-4C48-A6C3-02C47D367978}"/>
                </c:ext>
              </c:extLst>
            </c:dLbl>
            <c:dLbl>
              <c:idx val="6"/>
              <c:layout>
                <c:manualLayout>
                  <c:x val="-3.613434540937896E-2"/>
                  <c:y val="-4.0645421245936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6E7-4C48-A6C3-02C47D3679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'2024'!$B$49:$M$49</c:f>
              <c:numCache>
                <c:formatCode>#,##0</c:formatCode>
                <c:ptCount val="12"/>
                <c:pt idx="0">
                  <c:v>178.6200000000008</c:v>
                </c:pt>
                <c:pt idx="1">
                  <c:v>236.21699999999998</c:v>
                </c:pt>
                <c:pt idx="2">
                  <c:v>80.967999999998938</c:v>
                </c:pt>
                <c:pt idx="3">
                  <c:v>143.25099999999998</c:v>
                </c:pt>
                <c:pt idx="4">
                  <c:v>222.02399999999852</c:v>
                </c:pt>
                <c:pt idx="5">
                  <c:v>120.74400000000151</c:v>
                </c:pt>
                <c:pt idx="6">
                  <c:v>212.26999999999953</c:v>
                </c:pt>
                <c:pt idx="7">
                  <c:v>254.46400000000085</c:v>
                </c:pt>
                <c:pt idx="8">
                  <c:v>162.32900000000063</c:v>
                </c:pt>
                <c:pt idx="9">
                  <c:v>175.37199999999939</c:v>
                </c:pt>
                <c:pt idx="10">
                  <c:v>272.31500000000051</c:v>
                </c:pt>
                <c:pt idx="11">
                  <c:v>223.53300000000002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6E7-4C48-A6C3-02C47D367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24736"/>
        <c:axId val="431527360"/>
      </c:lineChart>
      <c:valAx>
        <c:axId val="43152736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4736"/>
        <c:crosses val="autoZero"/>
        <c:crossBetween val="between"/>
      </c:valAx>
      <c:dateAx>
        <c:axId val="4315247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73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Coque de Petróleo (kt)</a:t>
            </a:r>
          </a:p>
        </c:rich>
      </c:tx>
      <c:layout>
        <c:manualLayout>
          <c:xMode val="edge"/>
          <c:yMode val="edge"/>
          <c:x val="0.16485628126081409"/>
          <c:y val="2.6771692273099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494322945229427"/>
          <c:y val="0.17441757515924242"/>
          <c:w val="0.84927340819748931"/>
          <c:h val="0.72207294407808054"/>
        </c:manualLayout>
      </c:layout>
      <c:lineChart>
        <c:grouping val="standard"/>
        <c:varyColors val="0"/>
        <c:ser>
          <c:idx val="0"/>
          <c:order val="0"/>
          <c:tx>
            <c:strRef>
              <c:f>'2024'!$A$48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79-47CF-8547-5A72642B81C6}"/>
              </c:ext>
            </c:extLst>
          </c:dPt>
          <c:dPt>
            <c:idx val="1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679-47CF-8547-5A72642B81C6}"/>
              </c:ext>
            </c:extLst>
          </c:dPt>
          <c:dPt>
            <c:idx val="2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A679-47CF-8547-5A72642B81C6}"/>
              </c:ext>
            </c:extLst>
          </c:dPt>
          <c:dPt>
            <c:idx val="3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679-47CF-8547-5A72642B81C6}"/>
              </c:ext>
            </c:extLst>
          </c:dPt>
          <c:dPt>
            <c:idx val="4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79-47CF-8547-5A72642B81C6}"/>
              </c:ext>
            </c:extLst>
          </c:dPt>
          <c:dLbls>
            <c:dLbl>
              <c:idx val="3"/>
              <c:layout>
                <c:manualLayout>
                  <c:x val="6.5060658818575281E-3"/>
                  <c:y val="-3.12336409852826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79-47CF-8547-5A72642B81C6}"/>
                </c:ext>
              </c:extLst>
            </c:dLbl>
            <c:dLbl>
              <c:idx val="6"/>
              <c:layout>
                <c:manualLayout>
                  <c:x val="-2.9277296468358877E-2"/>
                  <c:y val="-2.230974356091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79-47CF-8547-5A72642B81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'2024'!$B$48:$M$48</c:f>
              <c:numCache>
                <c:formatCode>#,##0</c:formatCode>
                <c:ptCount val="12"/>
                <c:pt idx="0">
                  <c:v>276.36099999999999</c:v>
                </c:pt>
                <c:pt idx="1">
                  <c:v>333.20699999999999</c:v>
                </c:pt>
                <c:pt idx="2">
                  <c:v>286.33100000000002</c:v>
                </c:pt>
                <c:pt idx="3">
                  <c:v>247.52699999999999</c:v>
                </c:pt>
                <c:pt idx="4">
                  <c:v>280.86399999999998</c:v>
                </c:pt>
                <c:pt idx="5">
                  <c:v>274.50299999999999</c:v>
                </c:pt>
                <c:pt idx="6">
                  <c:v>303.47500000000002</c:v>
                </c:pt>
                <c:pt idx="7">
                  <c:v>301.76100000000002</c:v>
                </c:pt>
                <c:pt idx="8">
                  <c:v>271.81900000000002</c:v>
                </c:pt>
                <c:pt idx="9">
                  <c:v>296.07799999999997</c:v>
                </c:pt>
                <c:pt idx="10">
                  <c:v>329.41199999999998</c:v>
                </c:pt>
                <c:pt idx="11">
                  <c:v>304.04000000000002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679-47CF-8547-5A72642B81C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528672"/>
        <c:axId val="431525392"/>
      </c:lineChart>
      <c:valAx>
        <c:axId val="431525392"/>
        <c:scaling>
          <c:orientation val="minMax"/>
          <c:min val="0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8672"/>
        <c:crosses val="autoZero"/>
        <c:crossBetween val="between"/>
      </c:valAx>
      <c:dateAx>
        <c:axId val="4315286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65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539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'2024'!$AV$3</c:f>
          <c:strCache>
            <c:ptCount val="1"/>
            <c:pt idx="0">
              <c:v>DICIEMBRE 2024</c:v>
            </c:pt>
          </c:strCache>
        </c:strRef>
      </c:tx>
      <c:layout>
        <c:manualLayout>
          <c:xMode val="edge"/>
          <c:yMode val="edge"/>
          <c:x val="0.42702007380557216"/>
          <c:y val="3.3333377077922673E-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40404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'2024'!$AU$6:$AU$8</c:f>
              <c:strCache>
                <c:ptCount val="3"/>
                <c:pt idx="0">
                  <c:v>IMPORTACIONES DE CRUDO</c:v>
                </c:pt>
                <c:pt idx="1">
                  <c:v>TOTAL PROCESADO</c:v>
                </c:pt>
                <c:pt idx="2">
                  <c:v>PRODUCCION BRUTA DE REFINERIA</c:v>
                </c:pt>
              </c:strCache>
            </c:strRef>
          </c:cat>
          <c:val>
            <c:numRef>
              <c:f>'2024'!$AV$6:$AV$8</c:f>
              <c:numCache>
                <c:formatCode>0.0</c:formatCode>
                <c:ptCount val="3"/>
                <c:pt idx="0">
                  <c:v>5234.32</c:v>
                </c:pt>
                <c:pt idx="1">
                  <c:v>5482.2209999999995</c:v>
                </c:pt>
                <c:pt idx="2">
                  <c:v>5415.1689999999999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44-4BAC-986F-EEED926A4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3221368"/>
        <c:axId val="423226944"/>
      </c:barChart>
      <c:valAx>
        <c:axId val="42322694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1368"/>
        <c:crosses val="autoZero"/>
        <c:crossBetween val="between"/>
      </c:valAx>
      <c:catAx>
        <c:axId val="423221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'2024'!$AV$3</c:f>
          <c:strCache>
            <c:ptCount val="1"/>
            <c:pt idx="0">
              <c:v>DICIEMBRE 2024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ED7D31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E2F-483F-A7A6-F2EE145F6B7D}"/>
              </c:ext>
            </c:extLst>
          </c:dPt>
          <c:dLbls>
            <c:dLbl>
              <c:idx val="2"/>
              <c:layout>
                <c:manualLayout>
                  <c:x val="4.660804613773939E-3"/>
                  <c:y val="8.44372473510407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2F-483F-A7A6-F2EE145F6B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'2024'!$AU$11:$AU$15</c:f>
              <c:strCache>
                <c:ptCount val="5"/>
                <c:pt idx="0">
                  <c:v>IMPORTACIONES DE PROD. INTERMEDIOS Y MAT. AUXILIARES</c:v>
                </c:pt>
                <c:pt idx="1">
                  <c:v>VARIACION DE STOCKS DE CRUDOS (Ef-Ei)</c:v>
                </c:pt>
                <c:pt idx="2">
                  <c:v>APROVISIONAMIENTO DE PROD. INTERMEDIOS Y MAT. AUXILIARES</c:v>
                </c:pt>
                <c:pt idx="3">
                  <c:v>PRODUCTOS TRASPASADOS Y BACKFLOWS</c:v>
                </c:pt>
                <c:pt idx="4">
                  <c:v>CONSUMO DIRECTO DE CRUDO</c:v>
                </c:pt>
              </c:strCache>
            </c:strRef>
          </c:cat>
          <c:val>
            <c:numRef>
              <c:f>'2024'!$AV$11:$AV$15</c:f>
              <c:numCache>
                <c:formatCode>0.0</c:formatCode>
                <c:ptCount val="5"/>
                <c:pt idx="0">
                  <c:v>-7.6350000000002183</c:v>
                </c:pt>
                <c:pt idx="1">
                  <c:v>-7.3010000000000002</c:v>
                </c:pt>
                <c:pt idx="2">
                  <c:v>-196.66900000000001</c:v>
                </c:pt>
                <c:pt idx="3">
                  <c:v>51.342999999999996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2F-483F-A7A6-F2EE145F6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337208"/>
        <c:axId val="430334584"/>
      </c:barChart>
      <c:valAx>
        <c:axId val="4303345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208"/>
        <c:crosses val="autoZero"/>
        <c:crossBetween val="between"/>
      </c:valAx>
      <c:catAx>
        <c:axId val="430337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45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'2024'!$AV$3</c:f>
          <c:strCache>
            <c:ptCount val="1"/>
            <c:pt idx="0">
              <c:v>DICIEMBRE 2024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'2024'!$AU$17:$AU$50</c:f>
              <c:strCache>
                <c:ptCount val="34"/>
                <c:pt idx="0">
                  <c:v>Gas Refinería</c:v>
                </c:pt>
                <c:pt idx="1">
                  <c:v>Etano</c:v>
                </c:pt>
                <c:pt idx="2">
                  <c:v>Butano</c:v>
                </c:pt>
                <c:pt idx="3">
                  <c:v>Propano</c:v>
                </c:pt>
                <c:pt idx="4">
                  <c:v>Nafta</c:v>
                </c:pt>
                <c:pt idx="5">
                  <c:v>Gasolina 97 I.O.</c:v>
                </c:pt>
                <c:pt idx="6">
                  <c:v>Gasolina 95 I.O.</c:v>
                </c:pt>
                <c:pt idx="7">
                  <c:v>Gasolina 98 I.O.</c:v>
                </c:pt>
                <c:pt idx="8">
                  <c:v>Gasolina de Aviación</c:v>
                </c:pt>
                <c:pt idx="9">
                  <c:v>Otras Gasolinas</c:v>
                </c:pt>
                <c:pt idx="10">
                  <c:v>Bioetanol</c:v>
                </c:pt>
                <c:pt idx="11">
                  <c:v>Gasolinas Mezcla</c:v>
                </c:pt>
                <c:pt idx="12">
                  <c:v>Queroseno aviac. Jet A1</c:v>
                </c:pt>
                <c:pt idx="13">
                  <c:v>Queroseno aviac. Jet A2</c:v>
                </c:pt>
                <c:pt idx="14">
                  <c:v>Otros Querosenos</c:v>
                </c:pt>
                <c:pt idx="15">
                  <c:v>Gasóleo A</c:v>
                </c:pt>
                <c:pt idx="16">
                  <c:v>Gasóleo A 10 PPM</c:v>
                </c:pt>
                <c:pt idx="17">
                  <c:v>Gasóleo B</c:v>
                </c:pt>
                <c:pt idx="18">
                  <c:v>Gasóleo C</c:v>
                </c:pt>
                <c:pt idx="19">
                  <c:v>Gasóleo para uso marítimo</c:v>
                </c:pt>
                <c:pt idx="20">
                  <c:v>Diésel para uso marítimo</c:v>
                </c:pt>
                <c:pt idx="21">
                  <c:v>Otros Gasóleos</c:v>
                </c:pt>
                <c:pt idx="22">
                  <c:v>Biodiesel</c:v>
                </c:pt>
                <c:pt idx="23">
                  <c:v>Biodiesel Mezcla</c:v>
                </c:pt>
                <c:pt idx="24">
                  <c:v>Fuelóleo BIA</c:v>
                </c:pt>
                <c:pt idx="25">
                  <c:v>Fuelóleo de refineria</c:v>
                </c:pt>
                <c:pt idx="26">
                  <c:v>Otros combustibles para uso marítimo</c:v>
                </c:pt>
                <c:pt idx="27">
                  <c:v>Otros Fuelóleos</c:v>
                </c:pt>
                <c:pt idx="28">
                  <c:v>Aceites y bases lubricantes</c:v>
                </c:pt>
                <c:pt idx="29">
                  <c:v>Productos asfálticos</c:v>
                </c:pt>
                <c:pt idx="30">
                  <c:v>Disolventes</c:v>
                </c:pt>
                <c:pt idx="31">
                  <c:v>Parafinas</c:v>
                </c:pt>
                <c:pt idx="32">
                  <c:v>Coque de petróleo</c:v>
                </c:pt>
                <c:pt idx="33">
                  <c:v>Otros Productos</c:v>
                </c:pt>
              </c:strCache>
            </c:strRef>
          </c:cat>
          <c:val>
            <c:numRef>
              <c:f>'2024'!$AV$17:$AV$50</c:f>
              <c:numCache>
                <c:formatCode>0.0</c:formatCode>
                <c:ptCount val="34"/>
                <c:pt idx="0">
                  <c:v>177.91800000000001</c:v>
                </c:pt>
                <c:pt idx="1">
                  <c:v>0</c:v>
                </c:pt>
                <c:pt idx="2">
                  <c:v>115.131</c:v>
                </c:pt>
                <c:pt idx="3">
                  <c:v>25.479000000000013</c:v>
                </c:pt>
                <c:pt idx="4">
                  <c:v>164.97399999999999</c:v>
                </c:pt>
                <c:pt idx="5">
                  <c:v>0</c:v>
                </c:pt>
                <c:pt idx="6">
                  <c:v>97.415000000000006</c:v>
                </c:pt>
                <c:pt idx="7">
                  <c:v>5.5869999999999997</c:v>
                </c:pt>
                <c:pt idx="8">
                  <c:v>0</c:v>
                </c:pt>
                <c:pt idx="9">
                  <c:v>743.75700000000006</c:v>
                </c:pt>
                <c:pt idx="10">
                  <c:v>0</c:v>
                </c:pt>
                <c:pt idx="11">
                  <c:v>0</c:v>
                </c:pt>
                <c:pt idx="12">
                  <c:v>47.030999999999999</c:v>
                </c:pt>
                <c:pt idx="13">
                  <c:v>0</c:v>
                </c:pt>
                <c:pt idx="14">
                  <c:v>784.56600000000003</c:v>
                </c:pt>
                <c:pt idx="15">
                  <c:v>0</c:v>
                </c:pt>
                <c:pt idx="16">
                  <c:v>244.75200000000001</c:v>
                </c:pt>
                <c:pt idx="17">
                  <c:v>38.040999999999997</c:v>
                </c:pt>
                <c:pt idx="18">
                  <c:v>11.247999999999999</c:v>
                </c:pt>
                <c:pt idx="19">
                  <c:v>62.74</c:v>
                </c:pt>
                <c:pt idx="20">
                  <c:v>0</c:v>
                </c:pt>
                <c:pt idx="21">
                  <c:v>1780.252</c:v>
                </c:pt>
                <c:pt idx="22">
                  <c:v>14.125</c:v>
                </c:pt>
                <c:pt idx="23">
                  <c:v>0</c:v>
                </c:pt>
                <c:pt idx="24">
                  <c:v>1E-3</c:v>
                </c:pt>
                <c:pt idx="25">
                  <c:v>0</c:v>
                </c:pt>
                <c:pt idx="26">
                  <c:v>0</c:v>
                </c:pt>
                <c:pt idx="27">
                  <c:v>383.76700000000005</c:v>
                </c:pt>
                <c:pt idx="28">
                  <c:v>24.454999999999998</c:v>
                </c:pt>
                <c:pt idx="29">
                  <c:v>156.809</c:v>
                </c:pt>
                <c:pt idx="30">
                  <c:v>5.6609999999999996</c:v>
                </c:pt>
                <c:pt idx="31">
                  <c:v>3.887</c:v>
                </c:pt>
                <c:pt idx="32">
                  <c:v>304.04000000000002</c:v>
                </c:pt>
                <c:pt idx="33">
                  <c:v>223.53300000000002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52-45D0-8163-F47F18AB5B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30337864"/>
        <c:axId val="430337536"/>
      </c:barChart>
      <c:valAx>
        <c:axId val="430337536"/>
        <c:scaling>
          <c:orientation val="minMax"/>
          <c:max val="2000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864"/>
        <c:crosses val="autoZero"/>
        <c:crossBetween val="between"/>
      </c:valAx>
      <c:catAx>
        <c:axId val="430337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Calibri" panose="020F0502020204030204" pitchFamily="34" charset="0"/>
                <a:cs typeface="Calibri" panose="020F0502020204030204" pitchFamily="34" charset="0"/>
              </a:rPr>
              <a:t>Producción Bruta - Gas Refineria (kt)</a:t>
            </a:r>
          </a:p>
        </c:rich>
      </c:tx>
      <c:layout>
        <c:manualLayout>
          <c:xMode val="edge"/>
          <c:yMode val="edge"/>
          <c:x val="0.18324678593978219"/>
          <c:y val="4.1793347800730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'2024'!$A$16</c:f>
              <c:strCache>
                <c:ptCount val="1"/>
                <c:pt idx="0">
                  <c:v>Gas Refinería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'2024'!$B$16:$M$16</c:f>
              <c:numCache>
                <c:formatCode>#,##0</c:formatCode>
                <c:ptCount val="12"/>
                <c:pt idx="0">
                  <c:v>171.17400000000001</c:v>
                </c:pt>
                <c:pt idx="1">
                  <c:v>141.738</c:v>
                </c:pt>
                <c:pt idx="2">
                  <c:v>171.87</c:v>
                </c:pt>
                <c:pt idx="3">
                  <c:v>170.124</c:v>
                </c:pt>
                <c:pt idx="4">
                  <c:v>180.49600000000001</c:v>
                </c:pt>
                <c:pt idx="5">
                  <c:v>173.89400000000001</c:v>
                </c:pt>
                <c:pt idx="6">
                  <c:v>187.74799999999999</c:v>
                </c:pt>
                <c:pt idx="7">
                  <c:v>182.61799999999999</c:v>
                </c:pt>
                <c:pt idx="8">
                  <c:v>171.11600000000001</c:v>
                </c:pt>
                <c:pt idx="9">
                  <c:v>168.66300000000001</c:v>
                </c:pt>
                <c:pt idx="10">
                  <c:v>153.82400000000001</c:v>
                </c:pt>
                <c:pt idx="11">
                  <c:v>177.91800000000001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E-4BD2-99F5-04D359647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032240"/>
        <c:axId val="581032896"/>
      </c:lineChart>
      <c:dateAx>
        <c:axId val="5810322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896"/>
        <c:crosses val="autoZero"/>
        <c:auto val="1"/>
        <c:lblOffset val="100"/>
        <c:baseTimeUnit val="months"/>
      </c:dateAx>
      <c:valAx>
        <c:axId val="58103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  <a:ea typeface="+mn-ea"/>
                <a:cs typeface="+mn-cs"/>
              </a:rPr>
              <a:t>PRODUCCION BRUTA DE REFINERIA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'2024'!$A$15</c:f>
              <c:strCache>
                <c:ptCount val="1"/>
                <c:pt idx="0">
                  <c:v>PRODUCCION BRUTA DE REFINERIA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C4F-4F2E-9694-E0084FBF149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'2024'!$B$15:$M$15</c:f>
              <c:numCache>
                <c:formatCode>#,##0</c:formatCode>
                <c:ptCount val="12"/>
                <c:pt idx="0">
                  <c:v>5627.1900000000005</c:v>
                </c:pt>
                <c:pt idx="1">
                  <c:v>5224.4060000000009</c:v>
                </c:pt>
                <c:pt idx="2">
                  <c:v>5169.4089999999997</c:v>
                </c:pt>
                <c:pt idx="3">
                  <c:v>5233.6220000000003</c:v>
                </c:pt>
                <c:pt idx="4">
                  <c:v>5642.6579999999994</c:v>
                </c:pt>
                <c:pt idx="5">
                  <c:v>4961.1239999999998</c:v>
                </c:pt>
                <c:pt idx="6">
                  <c:v>5539.5619999999999</c:v>
                </c:pt>
                <c:pt idx="7">
                  <c:v>5482.4080000000004</c:v>
                </c:pt>
                <c:pt idx="8">
                  <c:v>5046.0910000000013</c:v>
                </c:pt>
                <c:pt idx="9">
                  <c:v>5183.6080000000002</c:v>
                </c:pt>
                <c:pt idx="10">
                  <c:v>4880.7290000000012</c:v>
                </c:pt>
                <c:pt idx="11">
                  <c:v>5415.1689999999999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4F-4F2E-9694-E0084FBF14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PRODUCCION NACIONAL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'2025'!$A$5</c:f>
              <c:strCache>
                <c:ptCount val="1"/>
                <c:pt idx="0">
                  <c:v>PRODUCCION NACIONAL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'2025'!$B$5:$M$5</c:f>
              <c:numCache>
                <c:formatCode>#,##0</c:formatCode>
                <c:ptCount val="12"/>
                <c:pt idx="0">
                  <c:v>0.40699999999999997</c:v>
                </c:pt>
                <c:pt idx="1">
                  <c:v>0.23899999999999999</c:v>
                </c:pt>
                <c:pt idx="2">
                  <c:v>0.17599999999999999</c:v>
                </c:pt>
                <c:pt idx="3">
                  <c:v>6.0000000000000001E-3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8.3000000000000004E-2</c:v>
                </c:pt>
                <c:pt idx="10">
                  <c:v>0.21</c:v>
                </c:pt>
                <c:pt idx="11">
                  <c:v>0.17699999999999999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1-4B97-9F51-5B0CAB6ADF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23222024"/>
        <c:axId val="423223664"/>
      </c:barChart>
      <c:valAx>
        <c:axId val="42322366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0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2024"/>
        <c:crosses val="autoZero"/>
        <c:crossBetween val="between"/>
      </c:valAx>
      <c:dateAx>
        <c:axId val="42322202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36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IMPORTACIONES DE CRUDO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'2025'!$A$6</c:f>
              <c:strCache>
                <c:ptCount val="1"/>
                <c:pt idx="0">
                  <c:v>IMPORTACIONES DE CRUDO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732-4A68-A381-98E2D9E1DA6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'2025'!$B$6:$M$6</c:f>
              <c:numCache>
                <c:formatCode>#,##0</c:formatCode>
                <c:ptCount val="12"/>
                <c:pt idx="0">
                  <c:v>5182.2709999999997</c:v>
                </c:pt>
                <c:pt idx="1">
                  <c:v>5072.5690000000004</c:v>
                </c:pt>
                <c:pt idx="2">
                  <c:v>5310.0219999999999</c:v>
                </c:pt>
                <c:pt idx="3">
                  <c:v>4795.9139999999998</c:v>
                </c:pt>
                <c:pt idx="4">
                  <c:v>4790.9260000000004</c:v>
                </c:pt>
                <c:pt idx="5">
                  <c:v>4131.1869999999999</c:v>
                </c:pt>
                <c:pt idx="6">
                  <c:v>5834.3440000000001</c:v>
                </c:pt>
                <c:pt idx="7">
                  <c:v>5137.7950000000001</c:v>
                </c:pt>
                <c:pt idx="8">
                  <c:v>5154.0079999999998</c:v>
                </c:pt>
                <c:pt idx="9">
                  <c:v>5694.6390000000001</c:v>
                </c:pt>
                <c:pt idx="10">
                  <c:v>5005.2659999999996</c:v>
                </c:pt>
                <c:pt idx="11">
                  <c:v>5313.8450000000003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32-4A68-A381-98E2D9E1DA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IMPORTACIONES DE CRUDO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'2024'!$A$6</c:f>
              <c:strCache>
                <c:ptCount val="1"/>
                <c:pt idx="0">
                  <c:v>IMPORTACIONES DE CRUDO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960-44AE-8C37-ABDB2050B831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'2024'!$B$6:$M$6</c:f>
              <c:numCache>
                <c:formatCode>#,##0</c:formatCode>
                <c:ptCount val="12"/>
                <c:pt idx="0">
                  <c:v>6240.1289999999999</c:v>
                </c:pt>
                <c:pt idx="1">
                  <c:v>5087.451</c:v>
                </c:pt>
                <c:pt idx="2">
                  <c:v>5060.8040000000001</c:v>
                </c:pt>
                <c:pt idx="3">
                  <c:v>6148.0309999999999</c:v>
                </c:pt>
                <c:pt idx="4">
                  <c:v>5922.1580000000004</c:v>
                </c:pt>
                <c:pt idx="5">
                  <c:v>5076.2169999999996</c:v>
                </c:pt>
                <c:pt idx="6">
                  <c:v>4951.8909999999996</c:v>
                </c:pt>
                <c:pt idx="7">
                  <c:v>5766.31</c:v>
                </c:pt>
                <c:pt idx="8">
                  <c:v>4670.3940000000002</c:v>
                </c:pt>
                <c:pt idx="9">
                  <c:v>4962.3389999999999</c:v>
                </c:pt>
                <c:pt idx="10">
                  <c:v>5467.8580000000002</c:v>
                </c:pt>
                <c:pt idx="11">
                  <c:v>5234.32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60-44AE-8C37-ABDB2050B83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+mn-ea"/>
                <a:cs typeface="+mn-cs"/>
              </a:defRPr>
            </a:pPr>
            <a:r>
              <a:rPr lang="es-ES" sz="1100" b="1">
                <a:solidFill>
                  <a:schemeClr val="tx1">
                    <a:lumMod val="65000"/>
                    <a:lumOff val="35000"/>
                  </a:schemeClr>
                </a:solidFill>
              </a:rPr>
              <a:t>Evolución</a:t>
            </a:r>
            <a:r>
              <a:rPr lang="es-ES" sz="1100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  <a:r>
              <a:rPr lang="es-ES" sz="11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de Importaciones de Crudo (kt)</a:t>
            </a:r>
            <a:endParaRPr lang="es-ES" sz="1100" b="1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  <c:layout>
        <c:manualLayout>
          <c:xMode val="edge"/>
          <c:yMode val="edge"/>
          <c:x val="0.23269352043204877"/>
          <c:y val="1.6887129697217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5958541649888413E-2"/>
          <c:y val="6.2629545284295901E-2"/>
          <c:w val="0.92698320982414695"/>
          <c:h val="0.66910087547613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'2025'!$A$7</c:f>
              <c:strCache>
                <c:ptCount val="1"/>
                <c:pt idx="0">
                  <c:v>IMPORTACIONES DE PROD. INTERMEDIOS Y MAT. AUXILIARES</c:v>
                </c:pt>
              </c:strCache>
            </c:strRef>
          </c:tx>
          <c:spPr>
            <a:solidFill>
              <a:srgbClr val="EF771D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2.1588899144267079E-2"/>
                  <c:y val="1.60245805682702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EB-4BFB-BD25-52B25766D27C}"/>
                </c:ext>
              </c:extLst>
            </c:dLbl>
            <c:dLbl>
              <c:idx val="2"/>
              <c:layout>
                <c:manualLayout>
                  <c:x val="-1.8902239214699881E-2"/>
                  <c:y val="4.47458971263629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EB-4BFB-BD25-52B25766D27C}"/>
                </c:ext>
              </c:extLst>
            </c:dLbl>
            <c:dLbl>
              <c:idx val="3"/>
              <c:layout>
                <c:manualLayout>
                  <c:x val="-1.086970243761636E-2"/>
                  <c:y val="4.06772147702490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79-4CBD-BA48-59DEA40065DD}"/>
                </c:ext>
              </c:extLst>
            </c:dLbl>
            <c:dLbl>
              <c:idx val="6"/>
              <c:layout>
                <c:manualLayout>
                  <c:x val="2.7025986017563488E-3"/>
                  <c:y val="-4.1909889776989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EB-4BFB-BD25-52B25766D27C}"/>
                </c:ext>
              </c:extLst>
            </c:dLbl>
            <c:dLbl>
              <c:idx val="7"/>
              <c:layout>
                <c:manualLayout>
                  <c:x val="-2.6978085105347743E-2"/>
                  <c:y val="-4.926106796586060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EB-4BFB-BD25-52B25766D27C}"/>
                </c:ext>
              </c:extLst>
            </c:dLbl>
            <c:dLbl>
              <c:idx val="9"/>
              <c:layout>
                <c:manualLayout>
                  <c:x val="2.4179939366104606E-2"/>
                  <c:y val="-5.28803792013237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E4-400C-B629-4D01E4F2B7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'2025'!$B$7:$M$7</c:f>
              <c:numCache>
                <c:formatCode>#,##0</c:formatCode>
                <c:ptCount val="12"/>
                <c:pt idx="0">
                  <c:v>192.98100000000068</c:v>
                </c:pt>
                <c:pt idx="1">
                  <c:v>-50.476000000000568</c:v>
                </c:pt>
                <c:pt idx="2">
                  <c:v>-73.728000000000065</c:v>
                </c:pt>
                <c:pt idx="3">
                  <c:v>159.61000000000058</c:v>
                </c:pt>
                <c:pt idx="4">
                  <c:v>104.92299999999977</c:v>
                </c:pt>
                <c:pt idx="5">
                  <c:v>15.831000000000131</c:v>
                </c:pt>
                <c:pt idx="6">
                  <c:v>126.9989999999998</c:v>
                </c:pt>
                <c:pt idx="7">
                  <c:v>-28.425999999999476</c:v>
                </c:pt>
                <c:pt idx="8">
                  <c:v>211.86800000000039</c:v>
                </c:pt>
                <c:pt idx="9">
                  <c:v>-79.953999999999724</c:v>
                </c:pt>
                <c:pt idx="10">
                  <c:v>13.743000000000393</c:v>
                </c:pt>
                <c:pt idx="11">
                  <c:v>100.20600000000013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EB-4BFB-BD25-52B25766D27C}"/>
            </c:ext>
          </c:extLst>
        </c:ser>
        <c:ser>
          <c:idx val="1"/>
          <c:order val="1"/>
          <c:tx>
            <c:strRef>
              <c:f>'2025'!$A$8</c:f>
              <c:strCache>
                <c:ptCount val="1"/>
                <c:pt idx="0">
                  <c:v>VARIACION DE STOCKS DE CRUDOS (Ef-Ei)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0905935381809281E-2"/>
                  <c:y val="-4.19071400042470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EB-4BFB-BD25-52B25766D27C}"/>
                </c:ext>
              </c:extLst>
            </c:dLbl>
            <c:dLbl>
              <c:idx val="1"/>
              <c:layout>
                <c:manualLayout>
                  <c:x val="4.347880975046544E-2"/>
                  <c:y val="6.06458837060850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B-4BFB-BD25-52B25766D27C}"/>
                </c:ext>
              </c:extLst>
            </c:dLbl>
            <c:dLbl>
              <c:idx val="3"/>
              <c:layout>
                <c:manualLayout>
                  <c:x val="8.152276828212269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79-4CBD-BA48-59DEA40065DD}"/>
                </c:ext>
              </c:extLst>
            </c:dLbl>
            <c:dLbl>
              <c:idx val="5"/>
              <c:layout>
                <c:manualLayout>
                  <c:x val="5.4051972035126976E-3"/>
                  <c:y val="-4.19098897769898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EB-4BFB-BD25-52B25766D27C}"/>
                </c:ext>
              </c:extLst>
            </c:dLbl>
            <c:dLbl>
              <c:idx val="6"/>
              <c:layout>
                <c:manualLayout>
                  <c:x val="2.7248289894108029E-2"/>
                  <c:y val="-2.107816399067178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3EB-4BFB-BD25-52B25766D2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'2025'!$B$8:$M$8</c:f>
              <c:numCache>
                <c:formatCode>#,##0</c:formatCode>
                <c:ptCount val="12"/>
                <c:pt idx="0">
                  <c:v>-107.346</c:v>
                </c:pt>
                <c:pt idx="1">
                  <c:v>299.65600000000001</c:v>
                </c:pt>
                <c:pt idx="2">
                  <c:v>-7.0119999999999996</c:v>
                </c:pt>
                <c:pt idx="3">
                  <c:v>257.46199999999999</c:v>
                </c:pt>
                <c:pt idx="4">
                  <c:v>14.525</c:v>
                </c:pt>
                <c:pt idx="5">
                  <c:v>-442.20400000000001</c:v>
                </c:pt>
                <c:pt idx="6">
                  <c:v>308.077</c:v>
                </c:pt>
                <c:pt idx="7">
                  <c:v>-227.25700000000001</c:v>
                </c:pt>
                <c:pt idx="8">
                  <c:v>1.8280000000000001</c:v>
                </c:pt>
                <c:pt idx="9">
                  <c:v>133.40100000000001</c:v>
                </c:pt>
                <c:pt idx="10">
                  <c:v>-190.834</c:v>
                </c:pt>
                <c:pt idx="11">
                  <c:v>-55.182000000000002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3EB-4BFB-BD25-52B25766D27C}"/>
            </c:ext>
          </c:extLst>
        </c:ser>
        <c:ser>
          <c:idx val="2"/>
          <c:order val="2"/>
          <c:tx>
            <c:strRef>
              <c:f>'2025'!$A$9</c:f>
              <c:strCache>
                <c:ptCount val="1"/>
                <c:pt idx="0">
                  <c:v>APROVISIONAMIENTO DE PROD. INTERMEDIOS Y MAT. AUXILIARES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807202361432757E-2"/>
                  <c:y val="-2.08529751566752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3EB-4BFB-BD25-52B25766D27C}"/>
                </c:ext>
              </c:extLst>
            </c:dLbl>
            <c:dLbl>
              <c:idx val="1"/>
              <c:layout>
                <c:manualLayout>
                  <c:x val="1.3512993008781718E-2"/>
                  <c:y val="-4.19098897769902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EB-4BFB-BD25-52B25766D27C}"/>
                </c:ext>
              </c:extLst>
            </c:dLbl>
            <c:dLbl>
              <c:idx val="2"/>
              <c:layout>
                <c:manualLayout>
                  <c:x val="2.439529525652203E-2"/>
                  <c:y val="2.4406649155179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79-4CBD-BA48-59DEA40065DD}"/>
                </c:ext>
              </c:extLst>
            </c:dLbl>
            <c:dLbl>
              <c:idx val="3"/>
              <c:layout>
                <c:manualLayout>
                  <c:x val="2.9728584619319737E-2"/>
                  <c:y val="4.19131897683109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3EB-4BFB-BD25-52B25766D27C}"/>
                </c:ext>
              </c:extLst>
            </c:dLbl>
            <c:dLbl>
              <c:idx val="5"/>
              <c:layout>
                <c:manualLayout>
                  <c:x val="-3.5133781822832631E-2"/>
                  <c:y val="-1.67639559107960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3EB-4BFB-BD25-52B25766D27C}"/>
                </c:ext>
              </c:extLst>
            </c:dLbl>
            <c:dLbl>
              <c:idx val="7"/>
              <c:layout>
                <c:manualLayout>
                  <c:x val="2.6866599295671905E-2"/>
                  <c:y val="5.09086553105705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3EB-4BFB-BD25-52B25766D27C}"/>
                </c:ext>
              </c:extLst>
            </c:dLbl>
            <c:dLbl>
              <c:idx val="9"/>
              <c:layout>
                <c:manualLayout>
                  <c:x val="2.1493279436537404E-2"/>
                  <c:y val="8.13608354010917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E4-400C-B629-4D01E4F2B7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'2025'!$B$9:$M$9</c:f>
              <c:numCache>
                <c:formatCode>#,##0</c:formatCode>
                <c:ptCount val="12"/>
                <c:pt idx="0">
                  <c:v>251.21299999999999</c:v>
                </c:pt>
                <c:pt idx="1">
                  <c:v>1.2939999999999827</c:v>
                </c:pt>
                <c:pt idx="2">
                  <c:v>-55.250999999999998</c:v>
                </c:pt>
                <c:pt idx="3">
                  <c:v>124.38800000000003</c:v>
                </c:pt>
                <c:pt idx="4">
                  <c:v>145.59700000000001</c:v>
                </c:pt>
                <c:pt idx="5">
                  <c:v>-239.61200000000002</c:v>
                </c:pt>
                <c:pt idx="6">
                  <c:v>113.23000000000002</c:v>
                </c:pt>
                <c:pt idx="7">
                  <c:v>-86.409999999999968</c:v>
                </c:pt>
                <c:pt idx="8">
                  <c:v>117.953</c:v>
                </c:pt>
                <c:pt idx="9">
                  <c:v>-15.498000000000005</c:v>
                </c:pt>
                <c:pt idx="10">
                  <c:v>37.441000000000003</c:v>
                </c:pt>
                <c:pt idx="11">
                  <c:v>-110.76600000000001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3EB-4BFB-BD25-52B25766D27C}"/>
            </c:ext>
          </c:extLst>
        </c:ser>
        <c:ser>
          <c:idx val="3"/>
          <c:order val="3"/>
          <c:tx>
            <c:strRef>
              <c:f>'2025'!$A$10</c:f>
              <c:strCache>
                <c:ptCount val="1"/>
                <c:pt idx="0">
                  <c:v>PRODUCTOS TRASPASADOS Y BACKFLOWS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9.9094137320469094E-17"/>
                  <c:y val="-2.0954944888495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3EB-4BFB-BD25-52B25766D27C}"/>
                </c:ext>
              </c:extLst>
            </c:dLbl>
            <c:dLbl>
              <c:idx val="7"/>
              <c:layout>
                <c:manualLayout>
                  <c:x val="3.5133781822832534E-2"/>
                  <c:y val="1.25729669330969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3EB-4BFB-BD25-52B25766D2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'2025'!$B$10:$M$10</c:f>
              <c:numCache>
                <c:formatCode>#,##0</c:formatCode>
                <c:ptCount val="12"/>
                <c:pt idx="0">
                  <c:v>62.945999999999998</c:v>
                </c:pt>
                <c:pt idx="1">
                  <c:v>55.45</c:v>
                </c:pt>
                <c:pt idx="2">
                  <c:v>23.821999999999999</c:v>
                </c:pt>
                <c:pt idx="3">
                  <c:v>18.233000000000001</c:v>
                </c:pt>
                <c:pt idx="4">
                  <c:v>49.732999999999997</c:v>
                </c:pt>
                <c:pt idx="5">
                  <c:v>16.376999999999999</c:v>
                </c:pt>
                <c:pt idx="6">
                  <c:v>115.58</c:v>
                </c:pt>
                <c:pt idx="7">
                  <c:v>81.14</c:v>
                </c:pt>
                <c:pt idx="8">
                  <c:v>46.997999999999998</c:v>
                </c:pt>
                <c:pt idx="9">
                  <c:v>72.234999999999999</c:v>
                </c:pt>
                <c:pt idx="10">
                  <c:v>26.579000000000001</c:v>
                </c:pt>
                <c:pt idx="11">
                  <c:v>70.766999999999996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3EB-4BFB-BD25-52B25766D27C}"/>
            </c:ext>
          </c:extLst>
        </c:ser>
        <c:ser>
          <c:idx val="4"/>
          <c:order val="4"/>
          <c:tx>
            <c:strRef>
              <c:f>'2025'!$A$11</c:f>
              <c:strCache>
                <c:ptCount val="1"/>
                <c:pt idx="0">
                  <c:v>CONSUMO DIRECTO DE CRUDO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4051972035126473E-3"/>
                  <c:y val="1.67639559107959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3EB-4BFB-BD25-52B25766D2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'2025'!$B$11:$M$11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3EB-4BFB-BD25-52B25766D27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30332944"/>
        <c:axId val="430338192"/>
      </c:barChart>
      <c:valAx>
        <c:axId val="430338192"/>
        <c:scaling>
          <c:orientation val="minMax"/>
        </c:scaling>
        <c:delete val="1"/>
        <c:axPos val="l"/>
        <c:numFmt formatCode="#.##0" sourceLinked="0"/>
        <c:majorTickMark val="none"/>
        <c:minorTickMark val="none"/>
        <c:tickLblPos val="nextTo"/>
        <c:crossAx val="430332944"/>
        <c:crosses val="autoZero"/>
        <c:crossBetween val="between"/>
      </c:valAx>
      <c:dateAx>
        <c:axId val="43033294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0" i="0" u="none" strike="noStrike" kern="1200" cap="all" spc="12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819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738932643710192E-2"/>
          <c:y val="0.76163502689987939"/>
          <c:w val="0.94052192165550486"/>
          <c:h val="0.213219039233926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8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Evolución Procesado de Crudo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'2025'!$A$14</c:f>
              <c:strCache>
                <c:ptCount val="1"/>
                <c:pt idx="0">
                  <c:v>PERDIDAS DE REFINO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'2025'!$B$14:$M$14</c:f>
              <c:numCache>
                <c:formatCode>#,##0</c:formatCode>
                <c:ptCount val="12"/>
                <c:pt idx="0">
                  <c:v>146.09300000000167</c:v>
                </c:pt>
                <c:pt idx="1">
                  <c:v>81.216999999999643</c:v>
                </c:pt>
                <c:pt idx="2">
                  <c:v>219.33000000000084</c:v>
                </c:pt>
                <c:pt idx="3">
                  <c:v>72.440000000000509</c:v>
                </c:pt>
                <c:pt idx="4">
                  <c:v>56.824999999999818</c:v>
                </c:pt>
                <c:pt idx="5">
                  <c:v>61.341000000000349</c:v>
                </c:pt>
                <c:pt idx="6">
                  <c:v>74.181999999999789</c:v>
                </c:pt>
                <c:pt idx="7">
                  <c:v>55.079000000001543</c:v>
                </c:pt>
                <c:pt idx="8">
                  <c:v>60.117000000000189</c:v>
                </c:pt>
                <c:pt idx="9">
                  <c:v>114.07799999999952</c:v>
                </c:pt>
                <c:pt idx="10">
                  <c:v>74.09099999999944</c:v>
                </c:pt>
                <c:pt idx="11">
                  <c:v>78.947999999999411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2D-4D5D-B0BE-7B6683E0D856}"/>
            </c:ext>
          </c:extLst>
        </c:ser>
        <c:ser>
          <c:idx val="1"/>
          <c:order val="1"/>
          <c:tx>
            <c:strRef>
              <c:f>'2025'!$A$13</c:f>
              <c:strCache>
                <c:ptCount val="1"/>
                <c:pt idx="0">
                  <c:v>PROCESADO DE CRUDO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65000"/>
                    <a:lumOff val="35000"/>
                  </a:schemeClr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'2025'!$B$13:$M$13</c:f>
              <c:numCache>
                <c:formatCode>#,##0</c:formatCode>
                <c:ptCount val="12"/>
                <c:pt idx="0">
                  <c:v>5290.0240000000003</c:v>
                </c:pt>
                <c:pt idx="1">
                  <c:v>4773.152</c:v>
                </c:pt>
                <c:pt idx="2">
                  <c:v>5317.21</c:v>
                </c:pt>
                <c:pt idx="3">
                  <c:v>4538.4579999999996</c:v>
                </c:pt>
                <c:pt idx="4">
                  <c:v>4776.4009999999998</c:v>
                </c:pt>
                <c:pt idx="5">
                  <c:v>4573.3909999999996</c:v>
                </c:pt>
                <c:pt idx="6">
                  <c:v>5526.2669999999998</c:v>
                </c:pt>
                <c:pt idx="7">
                  <c:v>5365.0519999999997</c:v>
                </c:pt>
                <c:pt idx="8">
                  <c:v>5152.18</c:v>
                </c:pt>
                <c:pt idx="9">
                  <c:v>5561.3209999999999</c:v>
                </c:pt>
                <c:pt idx="10">
                  <c:v>5196.3100000000004</c:v>
                </c:pt>
                <c:pt idx="11">
                  <c:v>5369.2039999999997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2D-4D5D-B0BE-7B6683E0D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30340488"/>
        <c:axId val="430336552"/>
      </c:barChart>
      <c:lineChart>
        <c:grouping val="standard"/>
        <c:varyColors val="0"/>
        <c:ser>
          <c:idx val="0"/>
          <c:order val="2"/>
          <c:tx>
            <c:strRef>
              <c:f>'2025'!$A$12</c:f>
              <c:strCache>
                <c:ptCount val="1"/>
                <c:pt idx="0">
                  <c:v>TOTAL PROCESADO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2-032D-4D5D-B0BE-7B6683E0D8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'2025'!$B$12:$M$12</c:f>
              <c:numCache>
                <c:formatCode>#,##0</c:formatCode>
                <c:ptCount val="12"/>
                <c:pt idx="0">
                  <c:v>5294.7380000000012</c:v>
                </c:pt>
                <c:pt idx="1">
                  <c:v>4776.8319999999994</c:v>
                </c:pt>
                <c:pt idx="2">
                  <c:v>5322.5550000000003</c:v>
                </c:pt>
                <c:pt idx="3">
                  <c:v>4591.9130000000014</c:v>
                </c:pt>
                <c:pt idx="4">
                  <c:v>4785.4600000000009</c:v>
                </c:pt>
                <c:pt idx="5">
                  <c:v>4845.2110000000002</c:v>
                </c:pt>
                <c:pt idx="6">
                  <c:v>5655.616</c:v>
                </c:pt>
                <c:pt idx="7">
                  <c:v>5504.1760000000004</c:v>
                </c:pt>
                <c:pt idx="8">
                  <c:v>5293.0929999999989</c:v>
                </c:pt>
                <c:pt idx="9">
                  <c:v>5569.0999999999995</c:v>
                </c:pt>
                <c:pt idx="10">
                  <c:v>5199.1909999999998</c:v>
                </c:pt>
                <c:pt idx="11">
                  <c:v>5650.9429999999993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2D-4D5D-B0BE-7B6683E0D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340488"/>
        <c:axId val="430336552"/>
      </c:lineChart>
      <c:valAx>
        <c:axId val="430336552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40488"/>
        <c:crosses val="autoZero"/>
        <c:crossBetween val="between"/>
      </c:valAx>
      <c:dateAx>
        <c:axId val="430340488"/>
        <c:scaling>
          <c:orientation val="minMax"/>
        </c:scaling>
        <c:delete val="0"/>
        <c:axPos val="b"/>
        <c:numFmt formatCode="[$-C0A]mmm\-yy;@" sourceLinked="0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6552"/>
        <c:crosses val="autoZero"/>
        <c:auto val="1"/>
        <c:lblOffset val="100"/>
        <c:baseTimeUnit val="months"/>
      </c:date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Gases derivados del refino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044496512429677E-2"/>
          <c:y val="0.16329335759261288"/>
          <c:w val="0.87497128952882108"/>
          <c:h val="0.62350962688456313"/>
        </c:manualLayout>
      </c:layout>
      <c:lineChart>
        <c:grouping val="standard"/>
        <c:varyColors val="0"/>
        <c:ser>
          <c:idx val="0"/>
          <c:order val="0"/>
          <c:tx>
            <c:strRef>
              <c:f>'2025'!$A$18</c:f>
              <c:strCache>
                <c:ptCount val="1"/>
                <c:pt idx="0">
                  <c:v>Butano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CA5-4A0A-BA9E-C5DB3CBAE9D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CA5-4A0A-BA9E-C5DB3CBAE9D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CA5-4A0A-BA9E-C5DB3CBAE9D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CA5-4A0A-BA9E-C5DB3CBAE9D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0CA5-4A0A-BA9E-C5DB3CBAE9D1}"/>
              </c:ext>
            </c:extLst>
          </c:dPt>
          <c:dLbls>
            <c:dLbl>
              <c:idx val="2"/>
              <c:layout>
                <c:manualLayout>
                  <c:x val="0"/>
                  <c:y val="4.5307450292910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A5-4A0A-BA9E-C5DB3CBAE9D1}"/>
                </c:ext>
              </c:extLst>
            </c:dLbl>
            <c:dLbl>
              <c:idx val="6"/>
              <c:layout>
                <c:manualLayout>
                  <c:x val="-1.9329385558187646E-2"/>
                  <c:y val="-4.53074502929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A5-4A0A-BA9E-C5DB3CBAE9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clip" horzOverflow="clip"/>
              <a:lstStyle/>
              <a:p>
                <a:pPr>
                  <a:defRPr>
                    <a:ln>
                      <a:noFill/>
                    </a:ln>
                    <a:solidFill>
                      <a:schemeClr val="tx1"/>
                    </a:solidFill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'2025'!$B$18:$M$18</c:f>
              <c:numCache>
                <c:formatCode>#,##0</c:formatCode>
                <c:ptCount val="12"/>
                <c:pt idx="0">
                  <c:v>103.541</c:v>
                </c:pt>
                <c:pt idx="1">
                  <c:v>94.614000000000004</c:v>
                </c:pt>
                <c:pt idx="2">
                  <c:v>96.242000000000004</c:v>
                </c:pt>
                <c:pt idx="3">
                  <c:v>64.98</c:v>
                </c:pt>
                <c:pt idx="4">
                  <c:v>88.978999999999999</c:v>
                </c:pt>
                <c:pt idx="5">
                  <c:v>81.649000000000001</c:v>
                </c:pt>
                <c:pt idx="6">
                  <c:v>70.718999999999994</c:v>
                </c:pt>
                <c:pt idx="7">
                  <c:v>93.141000000000005</c:v>
                </c:pt>
                <c:pt idx="8">
                  <c:v>88.816999999999993</c:v>
                </c:pt>
                <c:pt idx="9">
                  <c:v>95.533000000000001</c:v>
                </c:pt>
                <c:pt idx="10">
                  <c:v>98.486000000000004</c:v>
                </c:pt>
                <c:pt idx="11">
                  <c:v>102.169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CA5-4A0A-BA9E-C5DB3CBAE9D1}"/>
            </c:ext>
          </c:extLst>
        </c:ser>
        <c:ser>
          <c:idx val="1"/>
          <c:order val="1"/>
          <c:tx>
            <c:strRef>
              <c:f>'2025'!$A$19</c:f>
              <c:strCache>
                <c:ptCount val="1"/>
                <c:pt idx="0">
                  <c:v>Propano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'2025'!$B$19:$M$19</c:f>
              <c:numCache>
                <c:formatCode>#,##0</c:formatCode>
                <c:ptCount val="12"/>
                <c:pt idx="0">
                  <c:v>24.610000000000014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39.623000000000005</c:v>
                </c:pt>
                <c:pt idx="5">
                  <c:v>10.674999999999997</c:v>
                </c:pt>
                <c:pt idx="6">
                  <c:v>19.631</c:v>
                </c:pt>
                <c:pt idx="7">
                  <c:v>13.206999999999994</c:v>
                </c:pt>
                <c:pt idx="8">
                  <c:v>0</c:v>
                </c:pt>
                <c:pt idx="9">
                  <c:v>10.227000000000004</c:v>
                </c:pt>
                <c:pt idx="10">
                  <c:v>20.322999999999993</c:v>
                </c:pt>
                <c:pt idx="11">
                  <c:v>26.590999999999994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CA5-4A0A-BA9E-C5DB3CBAE9D1}"/>
            </c:ext>
          </c:extLst>
        </c:ser>
        <c:ser>
          <c:idx val="2"/>
          <c:order val="2"/>
          <c:tx>
            <c:strRef>
              <c:f>'2025'!$A$17</c:f>
              <c:strCache>
                <c:ptCount val="1"/>
                <c:pt idx="0">
                  <c:v>Etano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'2025'!$B$17:$M$17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CA5-4A0A-BA9E-C5DB3CBAE9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0335568"/>
        <c:axId val="430339176"/>
      </c:lineChart>
      <c:valAx>
        <c:axId val="43033917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5568"/>
        <c:crosses val="autoZero"/>
        <c:crossBetween val="between"/>
      </c:valAx>
      <c:dateAx>
        <c:axId val="4303355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917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1271931056992105"/>
          <c:y val="0.93320806190997896"/>
          <c:w val="0.6953456552892836"/>
          <c:h val="5.350698384117191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Gasolinas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'2025'!$A$20</c:f>
              <c:strCache>
                <c:ptCount val="1"/>
                <c:pt idx="0">
                  <c:v>Nafta</c:v>
                </c:pt>
              </c:strCache>
            </c:strRef>
          </c:tx>
          <c:spPr>
            <a:ln w="28575" cap="rnd" cmpd="sng" algn="ctr">
              <a:solidFill>
                <a:srgbClr val="EF771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'2025'!$B$20:$M$20</c:f>
              <c:numCache>
                <c:formatCode>#,##0</c:formatCode>
                <c:ptCount val="12"/>
                <c:pt idx="0">
                  <c:v>158.80600000000001</c:v>
                </c:pt>
                <c:pt idx="1">
                  <c:v>120.563</c:v>
                </c:pt>
                <c:pt idx="2">
                  <c:v>132.67400000000001</c:v>
                </c:pt>
                <c:pt idx="3">
                  <c:v>136.02799999999999</c:v>
                </c:pt>
                <c:pt idx="4">
                  <c:v>137.44300000000001</c:v>
                </c:pt>
                <c:pt idx="5">
                  <c:v>125.089</c:v>
                </c:pt>
                <c:pt idx="6">
                  <c:v>143.024</c:v>
                </c:pt>
                <c:pt idx="7">
                  <c:v>127.961</c:v>
                </c:pt>
                <c:pt idx="8">
                  <c:v>117.518</c:v>
                </c:pt>
                <c:pt idx="9">
                  <c:v>93.385999999999996</c:v>
                </c:pt>
                <c:pt idx="10">
                  <c:v>90.682000000000002</c:v>
                </c:pt>
                <c:pt idx="11">
                  <c:v>118.176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8-4151-9B6F-B9D08E592558}"/>
            </c:ext>
          </c:extLst>
        </c:ser>
        <c:ser>
          <c:idx val="1"/>
          <c:order val="1"/>
          <c:tx>
            <c:strRef>
              <c:f>'2025'!$A$21</c:f>
              <c:strCache>
                <c:ptCount val="1"/>
                <c:pt idx="0">
                  <c:v>Gasolina 97 I.O.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'2025'!$B$21:$M$21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8-4151-9B6F-B9D08E592558}"/>
            </c:ext>
          </c:extLst>
        </c:ser>
        <c:ser>
          <c:idx val="2"/>
          <c:order val="2"/>
          <c:tx>
            <c:strRef>
              <c:f>'2025'!$A$22</c:f>
              <c:strCache>
                <c:ptCount val="1"/>
                <c:pt idx="0">
                  <c:v>Gasolina 95 I.O.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'2025'!$B$22:$M$22</c:f>
              <c:numCache>
                <c:formatCode>#,##0</c:formatCode>
                <c:ptCount val="12"/>
                <c:pt idx="0">
                  <c:v>84.7</c:v>
                </c:pt>
                <c:pt idx="1">
                  <c:v>85.424000000000007</c:v>
                </c:pt>
                <c:pt idx="2">
                  <c:v>80.259</c:v>
                </c:pt>
                <c:pt idx="3">
                  <c:v>91.846000000000004</c:v>
                </c:pt>
                <c:pt idx="4">
                  <c:v>100.376</c:v>
                </c:pt>
                <c:pt idx="5">
                  <c:v>91.144000000000005</c:v>
                </c:pt>
                <c:pt idx="6">
                  <c:v>86.387</c:v>
                </c:pt>
                <c:pt idx="7">
                  <c:v>91.56</c:v>
                </c:pt>
                <c:pt idx="8">
                  <c:v>95.596000000000004</c:v>
                </c:pt>
                <c:pt idx="9">
                  <c:v>102.232</c:v>
                </c:pt>
                <c:pt idx="10">
                  <c:v>86.834999999999994</c:v>
                </c:pt>
                <c:pt idx="11">
                  <c:v>101.95399999999999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C8-4151-9B6F-B9D08E592558}"/>
            </c:ext>
          </c:extLst>
        </c:ser>
        <c:ser>
          <c:idx val="3"/>
          <c:order val="3"/>
          <c:tx>
            <c:strRef>
              <c:f>'2025'!$A$23</c:f>
              <c:strCache>
                <c:ptCount val="1"/>
                <c:pt idx="0">
                  <c:v>Gasolina 98 I.O.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'2025'!$B$23:$M$23</c:f>
              <c:numCache>
                <c:formatCode>#,##0</c:formatCode>
                <c:ptCount val="12"/>
                <c:pt idx="0">
                  <c:v>6.4459999999999997</c:v>
                </c:pt>
                <c:pt idx="1">
                  <c:v>6.1920000000000002</c:v>
                </c:pt>
                <c:pt idx="2">
                  <c:v>7.1070000000000002</c:v>
                </c:pt>
                <c:pt idx="3">
                  <c:v>10.738</c:v>
                </c:pt>
                <c:pt idx="4">
                  <c:v>9.3870000000000005</c:v>
                </c:pt>
                <c:pt idx="5">
                  <c:v>4.9489999999999998</c:v>
                </c:pt>
                <c:pt idx="6">
                  <c:v>14.753</c:v>
                </c:pt>
                <c:pt idx="7">
                  <c:v>14.805999999999999</c:v>
                </c:pt>
                <c:pt idx="8">
                  <c:v>10.811</c:v>
                </c:pt>
                <c:pt idx="9">
                  <c:v>7.9160000000000004</c:v>
                </c:pt>
                <c:pt idx="10">
                  <c:v>2.5150000000000001</c:v>
                </c:pt>
                <c:pt idx="11">
                  <c:v>12.023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C8-4151-9B6F-B9D08E592558}"/>
            </c:ext>
          </c:extLst>
        </c:ser>
        <c:ser>
          <c:idx val="4"/>
          <c:order val="4"/>
          <c:tx>
            <c:strRef>
              <c:f>'2025'!$A$24</c:f>
              <c:strCache>
                <c:ptCount val="1"/>
                <c:pt idx="0">
                  <c:v>Gasolina de Aviación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'2025'!$B$24:$M$24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AC8-4151-9B6F-B9D08E592558}"/>
            </c:ext>
          </c:extLst>
        </c:ser>
        <c:ser>
          <c:idx val="5"/>
          <c:order val="5"/>
          <c:tx>
            <c:strRef>
              <c:f>'2025'!$A$25</c:f>
              <c:strCache>
                <c:ptCount val="1"/>
                <c:pt idx="0">
                  <c:v>Otras Gasolinas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'2025'!$B$25:$M$25</c:f>
              <c:numCache>
                <c:formatCode>#,##0</c:formatCode>
                <c:ptCount val="12"/>
                <c:pt idx="0">
                  <c:v>697.10399999999993</c:v>
                </c:pt>
                <c:pt idx="1">
                  <c:v>638.01099999999997</c:v>
                </c:pt>
                <c:pt idx="2">
                  <c:v>702.73799999999994</c:v>
                </c:pt>
                <c:pt idx="3">
                  <c:v>634.71799999999985</c:v>
                </c:pt>
                <c:pt idx="4">
                  <c:v>577.29599999999994</c:v>
                </c:pt>
                <c:pt idx="5">
                  <c:v>602.87</c:v>
                </c:pt>
                <c:pt idx="6">
                  <c:v>763.17600000000004</c:v>
                </c:pt>
                <c:pt idx="7">
                  <c:v>735.15</c:v>
                </c:pt>
                <c:pt idx="8">
                  <c:v>749.22899999999993</c:v>
                </c:pt>
                <c:pt idx="9">
                  <c:v>801.25099999999998</c:v>
                </c:pt>
                <c:pt idx="10">
                  <c:v>711.66700000000003</c:v>
                </c:pt>
                <c:pt idx="11">
                  <c:v>814.35699999999997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AC8-4151-9B6F-B9D08E592558}"/>
            </c:ext>
          </c:extLst>
        </c:ser>
        <c:ser>
          <c:idx val="6"/>
          <c:order val="6"/>
          <c:tx>
            <c:strRef>
              <c:f>'2025'!$A$27</c:f>
              <c:strCache>
                <c:ptCount val="1"/>
                <c:pt idx="0">
                  <c:v>Gasolinas Mezcla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'2025'!$B$27:$H$27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AC8-4151-9B6F-B9D08E592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096472"/>
        <c:axId val="431096800"/>
      </c:lineChart>
      <c:valAx>
        <c:axId val="43109680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472"/>
        <c:crosses val="autoZero"/>
        <c:crossBetween val="between"/>
      </c:valAx>
      <c:dateAx>
        <c:axId val="4310964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80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Querosenos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'2025'!$A$28</c:f>
              <c:strCache>
                <c:ptCount val="1"/>
                <c:pt idx="0">
                  <c:v>Queroseno aviac. Jet A1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'2025'!$B$28:$M$28</c:f>
              <c:numCache>
                <c:formatCode>#,##0</c:formatCode>
                <c:ptCount val="12"/>
                <c:pt idx="0">
                  <c:v>31.023</c:v>
                </c:pt>
                <c:pt idx="1">
                  <c:v>37.520000000000003</c:v>
                </c:pt>
                <c:pt idx="2">
                  <c:v>47.640999999999998</c:v>
                </c:pt>
                <c:pt idx="3">
                  <c:v>42.44</c:v>
                </c:pt>
                <c:pt idx="4">
                  <c:v>52.503999999999998</c:v>
                </c:pt>
                <c:pt idx="5">
                  <c:v>41.771000000000001</c:v>
                </c:pt>
                <c:pt idx="6">
                  <c:v>40.868000000000002</c:v>
                </c:pt>
                <c:pt idx="7">
                  <c:v>39.442999999999998</c:v>
                </c:pt>
                <c:pt idx="8">
                  <c:v>43.014000000000003</c:v>
                </c:pt>
                <c:pt idx="9">
                  <c:v>41.174999999999997</c:v>
                </c:pt>
                <c:pt idx="10">
                  <c:v>31.084</c:v>
                </c:pt>
                <c:pt idx="11">
                  <c:v>37.429000000000002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3-41AE-AA5B-9ECF7C25B518}"/>
            </c:ext>
          </c:extLst>
        </c:ser>
        <c:ser>
          <c:idx val="1"/>
          <c:order val="1"/>
          <c:tx>
            <c:strRef>
              <c:f>'2025'!$A$29</c:f>
              <c:strCache>
                <c:ptCount val="1"/>
                <c:pt idx="0">
                  <c:v>Queroseno aviac. Jet A2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'2025'!$B$29:$M$29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3-41AE-AA5B-9ECF7C25B518}"/>
            </c:ext>
          </c:extLst>
        </c:ser>
        <c:ser>
          <c:idx val="2"/>
          <c:order val="2"/>
          <c:tx>
            <c:strRef>
              <c:f>'2025'!$A$30</c:f>
              <c:strCache>
                <c:ptCount val="1"/>
                <c:pt idx="0">
                  <c:v>Otros Querosenos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'2025'!$B$30:$M$30</c:f>
              <c:numCache>
                <c:formatCode>#,##0</c:formatCode>
                <c:ptCount val="12"/>
                <c:pt idx="0">
                  <c:v>801.43600000000004</c:v>
                </c:pt>
                <c:pt idx="1">
                  <c:v>678.79300000000001</c:v>
                </c:pt>
                <c:pt idx="2">
                  <c:v>805.83</c:v>
                </c:pt>
                <c:pt idx="3">
                  <c:v>689.60400000000004</c:v>
                </c:pt>
                <c:pt idx="4">
                  <c:v>669.98500000000001</c:v>
                </c:pt>
                <c:pt idx="5">
                  <c:v>710.31600000000003</c:v>
                </c:pt>
                <c:pt idx="6">
                  <c:v>857.24800000000005</c:v>
                </c:pt>
                <c:pt idx="7">
                  <c:v>845.74800000000005</c:v>
                </c:pt>
                <c:pt idx="8">
                  <c:v>822.14499999999998</c:v>
                </c:pt>
                <c:pt idx="9">
                  <c:v>869.14</c:v>
                </c:pt>
                <c:pt idx="10">
                  <c:v>806.61599999999999</c:v>
                </c:pt>
                <c:pt idx="11">
                  <c:v>820.97799999999995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43-41AE-AA5B-9ECF7C25B51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3128"/>
        <c:axId val="431324768"/>
      </c:lineChart>
      <c:valAx>
        <c:axId val="43132476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3128"/>
        <c:crosses val="autoZero"/>
        <c:crossBetween val="between"/>
      </c:valAx>
      <c:dateAx>
        <c:axId val="4313231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7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000" b="0" i="0" u="none" strike="noStrike" kern="1200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'2025'!$A$31</c:f>
              <c:strCache>
                <c:ptCount val="1"/>
                <c:pt idx="0">
                  <c:v>Gasóleo 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'2025'!$B$31:$M$31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B-4E6F-9ACB-FB601B5F5B71}"/>
            </c:ext>
          </c:extLst>
        </c:ser>
        <c:ser>
          <c:idx val="1"/>
          <c:order val="1"/>
          <c:tx>
            <c:strRef>
              <c:f>'2025'!$A$32</c:f>
              <c:strCache>
                <c:ptCount val="1"/>
                <c:pt idx="0">
                  <c:v>Gasóleo A 10 PPM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'2025'!$B$32:$M$32</c:f>
              <c:numCache>
                <c:formatCode>#,##0</c:formatCode>
                <c:ptCount val="12"/>
                <c:pt idx="0">
                  <c:v>266.14400000000001</c:v>
                </c:pt>
                <c:pt idx="1">
                  <c:v>217.99199999999999</c:v>
                </c:pt>
                <c:pt idx="2">
                  <c:v>275.00900000000001</c:v>
                </c:pt>
                <c:pt idx="3">
                  <c:v>235.851</c:v>
                </c:pt>
                <c:pt idx="4">
                  <c:v>261.40499999999997</c:v>
                </c:pt>
                <c:pt idx="5">
                  <c:v>250.71600000000001</c:v>
                </c:pt>
                <c:pt idx="6">
                  <c:v>238.75399999999999</c:v>
                </c:pt>
                <c:pt idx="7">
                  <c:v>272.16199999999998</c:v>
                </c:pt>
                <c:pt idx="8">
                  <c:v>273.80799999999999</c:v>
                </c:pt>
                <c:pt idx="9">
                  <c:v>264.34500000000003</c:v>
                </c:pt>
                <c:pt idx="10">
                  <c:v>274.858</c:v>
                </c:pt>
                <c:pt idx="11">
                  <c:v>220.477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B-4E6F-9ACB-FB601B5F5B71}"/>
            </c:ext>
          </c:extLst>
        </c:ser>
        <c:ser>
          <c:idx val="2"/>
          <c:order val="2"/>
          <c:tx>
            <c:strRef>
              <c:f>'2025'!$A$33</c:f>
              <c:strCache>
                <c:ptCount val="1"/>
                <c:pt idx="0">
                  <c:v>Gasóleo B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'2025'!$B$33:$M$33</c:f>
              <c:numCache>
                <c:formatCode>#,##0</c:formatCode>
                <c:ptCount val="12"/>
                <c:pt idx="0">
                  <c:v>16.056999999999999</c:v>
                </c:pt>
                <c:pt idx="1">
                  <c:v>43.819000000000003</c:v>
                </c:pt>
                <c:pt idx="2">
                  <c:v>20.041</c:v>
                </c:pt>
                <c:pt idx="3">
                  <c:v>34.475999999999999</c:v>
                </c:pt>
                <c:pt idx="4">
                  <c:v>13.831</c:v>
                </c:pt>
                <c:pt idx="5">
                  <c:v>38.195999999999998</c:v>
                </c:pt>
                <c:pt idx="6">
                  <c:v>15.571</c:v>
                </c:pt>
                <c:pt idx="7">
                  <c:v>36.04</c:v>
                </c:pt>
                <c:pt idx="8">
                  <c:v>26.312000000000001</c:v>
                </c:pt>
                <c:pt idx="9">
                  <c:v>36.621000000000002</c:v>
                </c:pt>
                <c:pt idx="10">
                  <c:v>16.934000000000001</c:v>
                </c:pt>
                <c:pt idx="11">
                  <c:v>41.887999999999998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6B-4E6F-9ACB-FB601B5F5B71}"/>
            </c:ext>
          </c:extLst>
        </c:ser>
        <c:ser>
          <c:idx val="3"/>
          <c:order val="3"/>
          <c:tx>
            <c:strRef>
              <c:f>'2025'!$A$34</c:f>
              <c:strCache>
                <c:ptCount val="1"/>
                <c:pt idx="0">
                  <c:v>Gasóleo C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'2025'!$B$34:$M$34</c:f>
              <c:numCache>
                <c:formatCode>#,##0</c:formatCode>
                <c:ptCount val="12"/>
                <c:pt idx="0">
                  <c:v>11.744999999999999</c:v>
                </c:pt>
                <c:pt idx="1">
                  <c:v>10.614000000000001</c:v>
                </c:pt>
                <c:pt idx="2">
                  <c:v>11.478999999999999</c:v>
                </c:pt>
                <c:pt idx="3">
                  <c:v>8.5120000000000005</c:v>
                </c:pt>
                <c:pt idx="4">
                  <c:v>8.3800000000000008</c:v>
                </c:pt>
                <c:pt idx="5">
                  <c:v>6.3220000000000001</c:v>
                </c:pt>
                <c:pt idx="6">
                  <c:v>5.9189999999999996</c:v>
                </c:pt>
                <c:pt idx="7">
                  <c:v>5.0919999999999996</c:v>
                </c:pt>
                <c:pt idx="8">
                  <c:v>0</c:v>
                </c:pt>
                <c:pt idx="9">
                  <c:v>13.109</c:v>
                </c:pt>
                <c:pt idx="10">
                  <c:v>9.6539999999999999</c:v>
                </c:pt>
                <c:pt idx="11">
                  <c:v>16.911000000000001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6B-4E6F-9ACB-FB601B5F5B71}"/>
            </c:ext>
          </c:extLst>
        </c:ser>
        <c:ser>
          <c:idx val="4"/>
          <c:order val="4"/>
          <c:tx>
            <c:strRef>
              <c:f>'2025'!$A$35</c:f>
              <c:strCache>
                <c:ptCount val="1"/>
                <c:pt idx="0">
                  <c:v>Gasóleo para uso marítimo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'2025'!$B$35:$M$35</c:f>
              <c:numCache>
                <c:formatCode>#,##0</c:formatCode>
                <c:ptCount val="12"/>
                <c:pt idx="0">
                  <c:v>69.126999999999995</c:v>
                </c:pt>
                <c:pt idx="1">
                  <c:v>61.704000000000001</c:v>
                </c:pt>
                <c:pt idx="2">
                  <c:v>64.162000000000006</c:v>
                </c:pt>
                <c:pt idx="3">
                  <c:v>75.817999999999998</c:v>
                </c:pt>
                <c:pt idx="4">
                  <c:v>79.024000000000001</c:v>
                </c:pt>
                <c:pt idx="5">
                  <c:v>74.072000000000003</c:v>
                </c:pt>
                <c:pt idx="6">
                  <c:v>81.67</c:v>
                </c:pt>
                <c:pt idx="7">
                  <c:v>82.831000000000003</c:v>
                </c:pt>
                <c:pt idx="8">
                  <c:v>89.808999999999997</c:v>
                </c:pt>
                <c:pt idx="9">
                  <c:v>77.814999999999998</c:v>
                </c:pt>
                <c:pt idx="10">
                  <c:v>76.653999999999996</c:v>
                </c:pt>
                <c:pt idx="11">
                  <c:v>82.551000000000002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16B-4E6F-9ACB-FB601B5F5B71}"/>
            </c:ext>
          </c:extLst>
        </c:ser>
        <c:ser>
          <c:idx val="5"/>
          <c:order val="5"/>
          <c:tx>
            <c:strRef>
              <c:f>'2025'!$A$36</c:f>
              <c:strCache>
                <c:ptCount val="1"/>
                <c:pt idx="0">
                  <c:v>Diésel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'2025'!$B$36:$M$36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16B-4E6F-9ACB-FB601B5F5B71}"/>
            </c:ext>
          </c:extLst>
        </c:ser>
        <c:ser>
          <c:idx val="6"/>
          <c:order val="6"/>
          <c:tx>
            <c:strRef>
              <c:f>'2025'!$A$37</c:f>
              <c:strCache>
                <c:ptCount val="1"/>
                <c:pt idx="0">
                  <c:v>Otros Gasóleos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'2025'!$B$37:$M$37</c:f>
              <c:numCache>
                <c:formatCode>#,##0</c:formatCode>
                <c:ptCount val="12"/>
                <c:pt idx="0">
                  <c:v>1618.24</c:v>
                </c:pt>
                <c:pt idx="1">
                  <c:v>1564.271</c:v>
                </c:pt>
                <c:pt idx="2">
                  <c:v>1698.4470000000001</c:v>
                </c:pt>
                <c:pt idx="3">
                  <c:v>1441.5740000000001</c:v>
                </c:pt>
                <c:pt idx="4">
                  <c:v>1561.6469999999999</c:v>
                </c:pt>
                <c:pt idx="5">
                  <c:v>1558.5600000000002</c:v>
                </c:pt>
                <c:pt idx="6">
                  <c:v>1939.8460000000002</c:v>
                </c:pt>
                <c:pt idx="7">
                  <c:v>1853.8840000000002</c:v>
                </c:pt>
                <c:pt idx="8">
                  <c:v>1741.4929999999999</c:v>
                </c:pt>
                <c:pt idx="9">
                  <c:v>1859.5649999999998</c:v>
                </c:pt>
                <c:pt idx="10">
                  <c:v>1721.567</c:v>
                </c:pt>
                <c:pt idx="11">
                  <c:v>1950.38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16B-4E6F-9ACB-FB601B5F5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325096"/>
        <c:axId val="431326080"/>
      </c:lineChart>
      <c:valAx>
        <c:axId val="43132608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5096"/>
        <c:crosses val="autoZero"/>
        <c:crossBetween val="between"/>
      </c:valAx>
      <c:dateAx>
        <c:axId val="4313250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608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Bio's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'2025'!$A$26</c:f>
              <c:strCache>
                <c:ptCount val="1"/>
                <c:pt idx="0">
                  <c:v>Bioetanol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'2025'!$B$26:$M$26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7-42EA-8C78-0CAC1B5873C7}"/>
            </c:ext>
          </c:extLst>
        </c:ser>
        <c:ser>
          <c:idx val="1"/>
          <c:order val="1"/>
          <c:tx>
            <c:strRef>
              <c:f>'2025'!$A$38</c:f>
              <c:strCache>
                <c:ptCount val="1"/>
                <c:pt idx="0">
                  <c:v>Biodiesel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'2025'!$B$38:$M$38</c:f>
              <c:numCache>
                <c:formatCode>#,##0</c:formatCode>
                <c:ptCount val="12"/>
                <c:pt idx="0">
                  <c:v>35.125</c:v>
                </c:pt>
                <c:pt idx="1">
                  <c:v>31.614999999999998</c:v>
                </c:pt>
                <c:pt idx="2">
                  <c:v>33.893999999999998</c:v>
                </c:pt>
                <c:pt idx="3">
                  <c:v>29.126000000000001</c:v>
                </c:pt>
                <c:pt idx="4">
                  <c:v>36.539000000000001</c:v>
                </c:pt>
                <c:pt idx="5">
                  <c:v>32.463999999999999</c:v>
                </c:pt>
                <c:pt idx="6">
                  <c:v>36.701000000000001</c:v>
                </c:pt>
                <c:pt idx="7">
                  <c:v>29.849</c:v>
                </c:pt>
                <c:pt idx="8">
                  <c:v>12.891999999999999</c:v>
                </c:pt>
                <c:pt idx="9">
                  <c:v>29.521999999999998</c:v>
                </c:pt>
                <c:pt idx="10">
                  <c:v>33.314999999999998</c:v>
                </c:pt>
                <c:pt idx="11">
                  <c:v>37.762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7-42EA-8C78-0CAC1B5873C7}"/>
            </c:ext>
          </c:extLst>
        </c:ser>
        <c:ser>
          <c:idx val="2"/>
          <c:order val="2"/>
          <c:tx>
            <c:strRef>
              <c:f>'2025'!$A$39</c:f>
              <c:strCache>
                <c:ptCount val="1"/>
                <c:pt idx="0">
                  <c:v>Biodiesel Mezcla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'2025'!$B$39:$M$39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57-42EA-8C78-0CAC1B5873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2472"/>
        <c:axId val="431321488"/>
      </c:lineChart>
      <c:valAx>
        <c:axId val="43132148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2472"/>
        <c:crosses val="autoZero"/>
        <c:crossBetween val="between"/>
      </c:valAx>
      <c:dateAx>
        <c:axId val="4313224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148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Fuelóleos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'2025'!$A$40</c:f>
              <c:strCache>
                <c:ptCount val="1"/>
                <c:pt idx="0">
                  <c:v>Fuelóleo BIA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'2025'!$B$40:$M$40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1.4E-2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A6-4C26-B72E-81DC6E77755C}"/>
            </c:ext>
          </c:extLst>
        </c:ser>
        <c:ser>
          <c:idx val="1"/>
          <c:order val="1"/>
          <c:tx>
            <c:strRef>
              <c:f>'2025'!$A$41</c:f>
              <c:strCache>
                <c:ptCount val="1"/>
                <c:pt idx="0">
                  <c:v>Fuelóleo de refineria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'2025'!$B$41:$M$41</c:f>
              <c:numCache>
                <c:formatCode>#,##0</c:formatCode>
                <c:ptCount val="12"/>
                <c:pt idx="0">
                  <c:v>0</c:v>
                </c:pt>
                <c:pt idx="1">
                  <c:v>0.501</c:v>
                </c:pt>
                <c:pt idx="2">
                  <c:v>8.0000000000000002E-3</c:v>
                </c:pt>
                <c:pt idx="3">
                  <c:v>0.70899999999999996</c:v>
                </c:pt>
                <c:pt idx="4">
                  <c:v>7.1999999999999995E-2</c:v>
                </c:pt>
                <c:pt idx="5">
                  <c:v>0.80300000000000005</c:v>
                </c:pt>
                <c:pt idx="6">
                  <c:v>1.1779999999999999</c:v>
                </c:pt>
                <c:pt idx="7">
                  <c:v>7.8E-2</c:v>
                </c:pt>
                <c:pt idx="8">
                  <c:v>0.03</c:v>
                </c:pt>
                <c:pt idx="9">
                  <c:v>0.06</c:v>
                </c:pt>
                <c:pt idx="10">
                  <c:v>0.10299999999999999</c:v>
                </c:pt>
                <c:pt idx="11">
                  <c:v>9.2999999999999999E-2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A6-4C26-B72E-81DC6E77755C}"/>
            </c:ext>
          </c:extLst>
        </c:ser>
        <c:ser>
          <c:idx val="2"/>
          <c:order val="2"/>
          <c:tx>
            <c:strRef>
              <c:f>'2025'!$A$42</c:f>
              <c:strCache>
                <c:ptCount val="1"/>
                <c:pt idx="0">
                  <c:v>Otros combustibles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'2025'!$B$42:$M$42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A6-4C26-B72E-81DC6E77755C}"/>
            </c:ext>
          </c:extLst>
        </c:ser>
        <c:ser>
          <c:idx val="3"/>
          <c:order val="3"/>
          <c:tx>
            <c:strRef>
              <c:f>'2025'!$A$43</c:f>
              <c:strCache>
                <c:ptCount val="1"/>
                <c:pt idx="0">
                  <c:v>Otros Fuelóleos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749441314715922E-2"/>
                  <c:y val="-1.7831819266789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BD-4221-B9C6-29B2BFB42ADD}"/>
                </c:ext>
              </c:extLst>
            </c:dLbl>
            <c:dLbl>
              <c:idx val="4"/>
              <c:layout>
                <c:manualLayout>
                  <c:x val="-2.4186242958110823E-2"/>
                  <c:y val="-4.9359037362575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A6-4C26-B72E-81DC6E77755C}"/>
                </c:ext>
              </c:extLst>
            </c:dLbl>
            <c:dLbl>
              <c:idx val="5"/>
              <c:layout>
                <c:manualLayout>
                  <c:x val="-3.4921718463244635E-2"/>
                  <c:y val="-4.9359037362575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A6-4C26-B72E-81DC6E77755C}"/>
                </c:ext>
              </c:extLst>
            </c:dLbl>
            <c:dLbl>
              <c:idx val="6"/>
              <c:layout>
                <c:manualLayout>
                  <c:x val="-2.4186242958110823E-2"/>
                  <c:y val="4.9037502983670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BD-4221-B9C6-29B2BFB42ADD}"/>
                </c:ext>
              </c:extLst>
            </c:dLbl>
            <c:dLbl>
              <c:idx val="7"/>
              <c:layout>
                <c:manualLayout>
                  <c:x val="-4.5685125587542667E-2"/>
                  <c:y val="-3.1205683716881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BD-4221-B9C6-29B2BFB42ADD}"/>
                </c:ext>
              </c:extLst>
            </c:dLbl>
            <c:dLbl>
              <c:idx val="8"/>
              <c:layout>
                <c:manualLayout>
                  <c:x val="-8.0620809860370395E-3"/>
                  <c:y val="-2.67477289001839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E2-4E54-B98B-ACA0D92ED5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'2025'!$B$43:$M$43</c:f>
              <c:numCache>
                <c:formatCode>#,##0</c:formatCode>
                <c:ptCount val="12"/>
                <c:pt idx="0">
                  <c:v>352.94900000000001</c:v>
                </c:pt>
                <c:pt idx="1">
                  <c:v>324.98</c:v>
                </c:pt>
                <c:pt idx="2">
                  <c:v>220.25399999999999</c:v>
                </c:pt>
                <c:pt idx="3">
                  <c:v>289.10199999999998</c:v>
                </c:pt>
                <c:pt idx="4">
                  <c:v>324.642</c:v>
                </c:pt>
                <c:pt idx="5">
                  <c:v>321.29899999999998</c:v>
                </c:pt>
                <c:pt idx="6">
                  <c:v>363.42500000000001</c:v>
                </c:pt>
                <c:pt idx="7">
                  <c:v>368.03800000000001</c:v>
                </c:pt>
                <c:pt idx="8">
                  <c:v>334.88099999999997</c:v>
                </c:pt>
                <c:pt idx="9">
                  <c:v>300.68</c:v>
                </c:pt>
                <c:pt idx="10">
                  <c:v>254.22</c:v>
                </c:pt>
                <c:pt idx="11">
                  <c:v>365.63099999999997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4A6-4C26-B72E-81DC6E77755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7392"/>
        <c:axId val="431324440"/>
      </c:lineChart>
      <c:valAx>
        <c:axId val="43132444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00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7392"/>
        <c:crosses val="autoZero"/>
        <c:crossBetween val="between"/>
      </c:valAx>
      <c:dateAx>
        <c:axId val="43132739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44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Productos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'2025'!$A$44</c:f>
              <c:strCache>
                <c:ptCount val="1"/>
                <c:pt idx="0">
                  <c:v>Aceites y bases lubricantes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'2025'!$B$44:$M$44</c:f>
              <c:numCache>
                <c:formatCode>#,##0</c:formatCode>
                <c:ptCount val="12"/>
                <c:pt idx="0">
                  <c:v>25.298999999999999</c:v>
                </c:pt>
                <c:pt idx="1">
                  <c:v>20.347000000000001</c:v>
                </c:pt>
                <c:pt idx="2">
                  <c:v>23.401</c:v>
                </c:pt>
                <c:pt idx="3">
                  <c:v>18.108000000000001</c:v>
                </c:pt>
                <c:pt idx="4">
                  <c:v>19.988</c:v>
                </c:pt>
                <c:pt idx="5">
                  <c:v>25.501999999999999</c:v>
                </c:pt>
                <c:pt idx="6">
                  <c:v>27.87</c:v>
                </c:pt>
                <c:pt idx="7">
                  <c:v>27.532</c:v>
                </c:pt>
                <c:pt idx="8">
                  <c:v>24.254000000000001</c:v>
                </c:pt>
                <c:pt idx="9">
                  <c:v>25.204999999999998</c:v>
                </c:pt>
                <c:pt idx="10">
                  <c:v>24.262</c:v>
                </c:pt>
                <c:pt idx="11">
                  <c:v>24.800999999999998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35-4646-BF19-4B04FFC56F34}"/>
            </c:ext>
          </c:extLst>
        </c:ser>
        <c:ser>
          <c:idx val="1"/>
          <c:order val="1"/>
          <c:tx>
            <c:strRef>
              <c:f>'2025'!$A$45</c:f>
              <c:strCache>
                <c:ptCount val="1"/>
                <c:pt idx="0">
                  <c:v>Productos asfálticos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4.422802383980743E-2"/>
                  <c:y val="-3.1714834407933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C8-4412-85A9-0D9DBAB40DC2}"/>
                </c:ext>
              </c:extLst>
            </c:dLbl>
            <c:dLbl>
              <c:idx val="2"/>
              <c:layout>
                <c:manualLayout>
                  <c:x val="-4.9887621109499895E-2"/>
                  <c:y val="5.31257405530916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35-4646-BF19-4B04FFC56F34}"/>
                </c:ext>
              </c:extLst>
            </c:dLbl>
            <c:dLbl>
              <c:idx val="3"/>
              <c:layout>
                <c:manualLayout>
                  <c:x val="-3.0496910607641765E-2"/>
                  <c:y val="4.8660447134090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ED-4581-A7AC-768A92EA1ADE}"/>
                </c:ext>
              </c:extLst>
            </c:dLbl>
            <c:dLbl>
              <c:idx val="4"/>
              <c:layout>
                <c:manualLayout>
                  <c:x val="-5.7809067897435723E-3"/>
                  <c:y val="3.07992734580849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ED-4581-A7AC-768A92EA1ADE}"/>
                </c:ext>
              </c:extLst>
            </c:dLbl>
            <c:dLbl>
              <c:idx val="5"/>
              <c:layout>
                <c:manualLayout>
                  <c:x val="-4.4228023839807527E-2"/>
                  <c:y val="4.41951537150889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ED-4581-A7AC-768A92EA1ADE}"/>
                </c:ext>
              </c:extLst>
            </c:dLbl>
            <c:dLbl>
              <c:idx val="6"/>
              <c:layout>
                <c:manualLayout>
                  <c:x val="-3.3377059117520855E-2"/>
                  <c:y val="5.3125740553091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35-4646-BF19-4B04FFC56F34}"/>
                </c:ext>
              </c:extLst>
            </c:dLbl>
            <c:dLbl>
              <c:idx val="7"/>
              <c:layout>
                <c:manualLayout>
                  <c:x val="-4.9920776868669366E-2"/>
                  <c:y val="4.8660447134090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35-4646-BF19-4B04FFC56F34}"/>
                </c:ext>
              </c:extLst>
            </c:dLbl>
            <c:dLbl>
              <c:idx val="8"/>
              <c:layout>
                <c:manualLayout>
                  <c:x val="-4.4228023839807527E-2"/>
                  <c:y val="4.8660447134090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ED-4581-A7AC-768A92EA1ADE}"/>
                </c:ext>
              </c:extLst>
            </c:dLbl>
            <c:dLbl>
              <c:idx val="11"/>
              <c:layout>
                <c:manualLayout>
                  <c:x val="-1.5479829967732965E-2"/>
                  <c:y val="3.52645668770862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C8-4412-85A9-0D9DBAB40D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'2025'!$B$45:$M$45</c:f>
              <c:numCache>
                <c:formatCode>#,##0</c:formatCode>
                <c:ptCount val="12"/>
                <c:pt idx="0">
                  <c:v>116.169</c:v>
                </c:pt>
                <c:pt idx="1">
                  <c:v>119.849</c:v>
                </c:pt>
                <c:pt idx="2">
                  <c:v>101.568</c:v>
                </c:pt>
                <c:pt idx="3">
                  <c:v>145.048</c:v>
                </c:pt>
                <c:pt idx="4">
                  <c:v>135.35900000000001</c:v>
                </c:pt>
                <c:pt idx="5">
                  <c:v>192.416</c:v>
                </c:pt>
                <c:pt idx="6">
                  <c:v>164.108</c:v>
                </c:pt>
                <c:pt idx="7">
                  <c:v>145.88300000000001</c:v>
                </c:pt>
                <c:pt idx="8">
                  <c:v>146.40600000000001</c:v>
                </c:pt>
                <c:pt idx="9">
                  <c:v>129.37700000000001</c:v>
                </c:pt>
                <c:pt idx="10">
                  <c:v>116.86199999999999</c:v>
                </c:pt>
                <c:pt idx="11">
                  <c:v>147.65799999999999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435-4646-BF19-4B04FFC56F34}"/>
            </c:ext>
          </c:extLst>
        </c:ser>
        <c:ser>
          <c:idx val="2"/>
          <c:order val="2"/>
          <c:tx>
            <c:strRef>
              <c:f>'2025'!$A$46</c:f>
              <c:strCache>
                <c:ptCount val="1"/>
                <c:pt idx="0">
                  <c:v>Disolventes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'2025'!$B$46:$M$46</c:f>
              <c:numCache>
                <c:formatCode>#,##0</c:formatCode>
                <c:ptCount val="12"/>
                <c:pt idx="0">
                  <c:v>10.762</c:v>
                </c:pt>
                <c:pt idx="1">
                  <c:v>9.2319999999999993</c:v>
                </c:pt>
                <c:pt idx="2">
                  <c:v>11.792999999999999</c:v>
                </c:pt>
                <c:pt idx="3">
                  <c:v>7.1879999999999997</c:v>
                </c:pt>
                <c:pt idx="4">
                  <c:v>7.89</c:v>
                </c:pt>
                <c:pt idx="5">
                  <c:v>10.404999999999999</c:v>
                </c:pt>
                <c:pt idx="6">
                  <c:v>10.439</c:v>
                </c:pt>
                <c:pt idx="7">
                  <c:v>10.88</c:v>
                </c:pt>
                <c:pt idx="8">
                  <c:v>10.452999999999999</c:v>
                </c:pt>
                <c:pt idx="9">
                  <c:v>8.6180000000000003</c:v>
                </c:pt>
                <c:pt idx="10">
                  <c:v>10.99</c:v>
                </c:pt>
                <c:pt idx="11">
                  <c:v>8.3819999999999997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435-4646-BF19-4B04FFC56F34}"/>
            </c:ext>
          </c:extLst>
        </c:ser>
        <c:ser>
          <c:idx val="3"/>
          <c:order val="3"/>
          <c:tx>
            <c:strRef>
              <c:f>'2025'!$A$47</c:f>
              <c:strCache>
                <c:ptCount val="1"/>
                <c:pt idx="0">
                  <c:v>Parafinas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'2025'!$B$47:$M$47</c:f>
              <c:numCache>
                <c:formatCode>#,##0</c:formatCode>
                <c:ptCount val="12"/>
                <c:pt idx="0">
                  <c:v>5.4790000000000001</c:v>
                </c:pt>
                <c:pt idx="1">
                  <c:v>5.742</c:v>
                </c:pt>
                <c:pt idx="2">
                  <c:v>5.3330000000000002</c:v>
                </c:pt>
                <c:pt idx="3">
                  <c:v>5.3170000000000002</c:v>
                </c:pt>
                <c:pt idx="4">
                  <c:v>5.4550000000000001</c:v>
                </c:pt>
                <c:pt idx="5">
                  <c:v>5.69</c:v>
                </c:pt>
                <c:pt idx="6">
                  <c:v>6.0919999999999996</c:v>
                </c:pt>
                <c:pt idx="7">
                  <c:v>5.407</c:v>
                </c:pt>
                <c:pt idx="8">
                  <c:v>6.5490000000000004</c:v>
                </c:pt>
                <c:pt idx="9">
                  <c:v>7.3940000000000001</c:v>
                </c:pt>
                <c:pt idx="10">
                  <c:v>6.7880000000000003</c:v>
                </c:pt>
                <c:pt idx="11">
                  <c:v>4.7439999999999998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435-4646-BF19-4B04FFC56F34}"/>
            </c:ext>
          </c:extLst>
        </c:ser>
        <c:ser>
          <c:idx val="4"/>
          <c:order val="4"/>
          <c:tx>
            <c:strRef>
              <c:f>'2025'!$A$49</c:f>
              <c:strCache>
                <c:ptCount val="1"/>
                <c:pt idx="0">
                  <c:v>Otros Productos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4.1659981308386988E-2"/>
                  <c:y val="-4.5110714664937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35-4646-BF19-4B04FFC56F34}"/>
                </c:ext>
              </c:extLst>
            </c:dLbl>
            <c:dLbl>
              <c:idx val="2"/>
              <c:layout>
                <c:manualLayout>
                  <c:x val="-4.4228023839807479E-2"/>
                  <c:y val="-5.40413015029404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C8-4412-85A9-0D9DBAB40DC2}"/>
                </c:ext>
              </c:extLst>
            </c:dLbl>
            <c:dLbl>
              <c:idx val="6"/>
              <c:layout>
                <c:manualLayout>
                  <c:x val="-3.613434540937896E-2"/>
                  <c:y val="-4.0645421245936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35-4646-BF19-4B04FFC56F34}"/>
                </c:ext>
              </c:extLst>
            </c:dLbl>
            <c:dLbl>
              <c:idx val="11"/>
              <c:layout>
                <c:manualLayout>
                  <c:x val="-2.0972275260599232E-2"/>
                  <c:y val="-4.0645421245936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C8-4412-85A9-0D9DBAB40D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'2025'!$B$49:$M$49</c:f>
              <c:numCache>
                <c:formatCode>#,##0</c:formatCode>
                <c:ptCount val="12"/>
                <c:pt idx="0">
                  <c:v>280.78899999999999</c:v>
                </c:pt>
                <c:pt idx="1">
                  <c:v>186.69300000000001</c:v>
                </c:pt>
                <c:pt idx="2">
                  <c:v>255.16199999999935</c:v>
                </c:pt>
                <c:pt idx="3">
                  <c:v>144.23399999999947</c:v>
                </c:pt>
                <c:pt idx="4">
                  <c:v>172.23499999999876</c:v>
                </c:pt>
                <c:pt idx="5">
                  <c:v>195.20500000000001</c:v>
                </c:pt>
                <c:pt idx="6">
                  <c:v>222.25700000000001</c:v>
                </c:pt>
                <c:pt idx="7">
                  <c:v>169.25999999999931</c:v>
                </c:pt>
                <c:pt idx="8">
                  <c:v>189.92800000000003</c:v>
                </c:pt>
                <c:pt idx="9">
                  <c:v>193.96799999999894</c:v>
                </c:pt>
                <c:pt idx="10">
                  <c:v>272.54800000000159</c:v>
                </c:pt>
                <c:pt idx="11">
                  <c:v>164.14500000000004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35-4646-BF19-4B04FFC56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24736"/>
        <c:axId val="431527360"/>
      </c:lineChart>
      <c:valAx>
        <c:axId val="43152736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4736"/>
        <c:crosses val="autoZero"/>
        <c:crossBetween val="between"/>
      </c:valAx>
      <c:dateAx>
        <c:axId val="4315247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73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Coque de Petróleo (kt)</a:t>
            </a:r>
          </a:p>
        </c:rich>
      </c:tx>
      <c:layout>
        <c:manualLayout>
          <c:xMode val="edge"/>
          <c:yMode val="edge"/>
          <c:x val="0.16485628126081409"/>
          <c:y val="2.6771692273099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494322945229427"/>
          <c:y val="0.17441757515924242"/>
          <c:w val="0.84927340819748931"/>
          <c:h val="0.72207294407808054"/>
        </c:manualLayout>
      </c:layout>
      <c:lineChart>
        <c:grouping val="standard"/>
        <c:varyColors val="0"/>
        <c:ser>
          <c:idx val="0"/>
          <c:order val="0"/>
          <c:tx>
            <c:strRef>
              <c:f>'2025'!$A$48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268-4DD5-B5E2-1E53CF1D9861}"/>
              </c:ext>
            </c:extLst>
          </c:dPt>
          <c:dPt>
            <c:idx val="1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268-4DD5-B5E2-1E53CF1D9861}"/>
              </c:ext>
            </c:extLst>
          </c:dPt>
          <c:dPt>
            <c:idx val="2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1268-4DD5-B5E2-1E53CF1D9861}"/>
              </c:ext>
            </c:extLst>
          </c:dPt>
          <c:dPt>
            <c:idx val="3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268-4DD5-B5E2-1E53CF1D9861}"/>
              </c:ext>
            </c:extLst>
          </c:dPt>
          <c:dPt>
            <c:idx val="4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268-4DD5-B5E2-1E53CF1D9861}"/>
              </c:ext>
            </c:extLst>
          </c:dPt>
          <c:dLbls>
            <c:dLbl>
              <c:idx val="0"/>
              <c:layout>
                <c:manualLayout>
                  <c:x val="-2.4085606313652912E-2"/>
                  <c:y val="-2.23194436096621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68-4DD5-B5E2-1E53CF1D9861}"/>
                </c:ext>
              </c:extLst>
            </c:dLbl>
            <c:dLbl>
              <c:idx val="3"/>
              <c:layout>
                <c:manualLayout>
                  <c:x val="-3.2633151798348532E-2"/>
                  <c:y val="4.4652595224060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68-4DD5-B5E2-1E53CF1D9861}"/>
                </c:ext>
              </c:extLst>
            </c:dLbl>
            <c:dLbl>
              <c:idx val="4"/>
              <c:layout>
                <c:manualLayout>
                  <c:x val="-2.7096307102859526E-2"/>
                  <c:y val="-3.12472210535269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68-4DD5-B5E2-1E53CF1D9861}"/>
                </c:ext>
              </c:extLst>
            </c:dLbl>
            <c:dLbl>
              <c:idx val="5"/>
              <c:layout>
                <c:manualLayout>
                  <c:x val="-3.9139110259685923E-2"/>
                  <c:y val="4.01749984973917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00A-4A75-9517-C0E535D982B3}"/>
                </c:ext>
              </c:extLst>
            </c:dLbl>
            <c:dLbl>
              <c:idx val="6"/>
              <c:layout>
                <c:manualLayout>
                  <c:x val="-2.6266586412920807E-2"/>
                  <c:y val="-4.0165156852965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68-4DD5-B5E2-1E53CF1D9861}"/>
                </c:ext>
              </c:extLst>
            </c:dLbl>
            <c:dLbl>
              <c:idx val="7"/>
              <c:layout>
                <c:manualLayout>
                  <c:x val="-2.1074905524446297E-2"/>
                  <c:y val="-1.3391666165797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00A-4A75-9517-C0E535D982B3}"/>
                </c:ext>
              </c:extLst>
            </c:dLbl>
            <c:dLbl>
              <c:idx val="9"/>
              <c:layout>
                <c:manualLayout>
                  <c:x val="-2.1074905524446297E-2"/>
                  <c:y val="-2.23194436096621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3F5-43D6-8D81-BBE1E5CF2FF0}"/>
                </c:ext>
              </c:extLst>
            </c:dLbl>
            <c:dLbl>
              <c:idx val="10"/>
              <c:layout>
                <c:manualLayout>
                  <c:x val="-3.010700789206614E-3"/>
                  <c:y val="2.2319443609662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3F5-43D6-8D81-BBE1E5CF2F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'2025'!$B$48:$M$48</c:f>
              <c:numCache>
                <c:formatCode>#,##0</c:formatCode>
                <c:ptCount val="12"/>
                <c:pt idx="0">
                  <c:v>260.82100000000003</c:v>
                </c:pt>
                <c:pt idx="1">
                  <c:v>249.82400000000001</c:v>
                </c:pt>
                <c:pt idx="2">
                  <c:v>293.46100000000001</c:v>
                </c:pt>
                <c:pt idx="3">
                  <c:v>244.34899999999999</c:v>
                </c:pt>
                <c:pt idx="4">
                  <c:v>283.19799999999998</c:v>
                </c:pt>
                <c:pt idx="5">
                  <c:v>241.35300000000001</c:v>
                </c:pt>
                <c:pt idx="6">
                  <c:v>296.88900000000001</c:v>
                </c:pt>
                <c:pt idx="7">
                  <c:v>290.74799999999999</c:v>
                </c:pt>
                <c:pt idx="8">
                  <c:v>271.62099999999998</c:v>
                </c:pt>
                <c:pt idx="9">
                  <c:v>294.06200000000001</c:v>
                </c:pt>
                <c:pt idx="10">
                  <c:v>284.005</c:v>
                </c:pt>
                <c:pt idx="11">
                  <c:v>295.5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268-4DD5-B5E2-1E53CF1D98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528672"/>
        <c:axId val="431525392"/>
      </c:lineChart>
      <c:valAx>
        <c:axId val="431525392"/>
        <c:scaling>
          <c:orientation val="minMax"/>
          <c:min val="0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8672"/>
        <c:crosses val="autoZero"/>
        <c:crossBetween val="between"/>
      </c:valAx>
      <c:dateAx>
        <c:axId val="4315286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65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539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+mn-ea"/>
                <a:cs typeface="+mn-cs"/>
              </a:defRPr>
            </a:pPr>
            <a:r>
              <a:rPr lang="es-ES" sz="1400" b="1">
                <a:solidFill>
                  <a:schemeClr val="tx1">
                    <a:lumMod val="65000"/>
                    <a:lumOff val="35000"/>
                  </a:schemeClr>
                </a:solidFill>
              </a:rPr>
              <a:t>Evolución</a:t>
            </a:r>
            <a:r>
              <a:rPr lang="es-ES" sz="1400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  <a:r>
              <a:rPr lang="es-ES" sz="1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de Importaciones de Crudo (kt)</a:t>
            </a:r>
            <a:endParaRPr lang="es-ES" sz="1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5958541649888413E-2"/>
          <c:y val="6.2629545284295901E-2"/>
          <c:w val="0.92698320982414695"/>
          <c:h val="0.66910087547613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'2024'!$A$7</c:f>
              <c:strCache>
                <c:ptCount val="1"/>
                <c:pt idx="0">
                  <c:v>IMPORTACIONES DE PROD. INTERMEDIOS Y MAT. AUXILIARES</c:v>
                </c:pt>
              </c:strCache>
            </c:strRef>
          </c:tx>
          <c:spPr>
            <a:solidFill>
              <a:srgbClr val="EF771D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621559161053809E-2"/>
                  <c:y val="-8.38197795539797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BF-4FCC-B504-1EA2D6C716CA}"/>
                </c:ext>
              </c:extLst>
            </c:dLbl>
            <c:dLbl>
              <c:idx val="2"/>
              <c:layout>
                <c:manualLayout>
                  <c:x val="-1.62155916105380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BF-4FCC-B504-1EA2D6C716CA}"/>
                </c:ext>
              </c:extLst>
            </c:dLbl>
            <c:dLbl>
              <c:idx val="6"/>
              <c:layout>
                <c:manualLayout>
                  <c:x val="2.7025986017563488E-3"/>
                  <c:y val="-4.1909889776989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BF-4FCC-B504-1EA2D6C716CA}"/>
                </c:ext>
              </c:extLst>
            </c:dLbl>
            <c:dLbl>
              <c:idx val="7"/>
              <c:layout>
                <c:manualLayout>
                  <c:x val="-1.891819021229434E-2"/>
                  <c:y val="-1.67639559107959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'2024'!$B$7:$M$7</c:f>
              <c:numCache>
                <c:formatCode>#,##0</c:formatCode>
                <c:ptCount val="12"/>
                <c:pt idx="0">
                  <c:v>120.79399999999987</c:v>
                </c:pt>
                <c:pt idx="1">
                  <c:v>16.909999999999854</c:v>
                </c:pt>
                <c:pt idx="2">
                  <c:v>-95.347999999999956</c:v>
                </c:pt>
                <c:pt idx="3">
                  <c:v>73.523000000000138</c:v>
                </c:pt>
                <c:pt idx="4">
                  <c:v>25.162999999999556</c:v>
                </c:pt>
                <c:pt idx="5">
                  <c:v>-117.7579999999989</c:v>
                </c:pt>
                <c:pt idx="6">
                  <c:v>81.727000000000771</c:v>
                </c:pt>
                <c:pt idx="7">
                  <c:v>93.736999999999171</c:v>
                </c:pt>
                <c:pt idx="8">
                  <c:v>-144.60600000000068</c:v>
                </c:pt>
                <c:pt idx="9">
                  <c:v>67.46100000000024</c:v>
                </c:pt>
                <c:pt idx="10">
                  <c:v>-2.4160000000001673</c:v>
                </c:pt>
                <c:pt idx="11">
                  <c:v>-7.6350000000002183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BF-4FCC-B504-1EA2D6C716CA}"/>
            </c:ext>
          </c:extLst>
        </c:ser>
        <c:ser>
          <c:idx val="1"/>
          <c:order val="1"/>
          <c:tx>
            <c:strRef>
              <c:f>'2024'!$A$8</c:f>
              <c:strCache>
                <c:ptCount val="1"/>
                <c:pt idx="0">
                  <c:v>VARIACION DE STOCKS DE CRUDOS (Ef-Ei)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7025986017563487E-2"/>
                  <c:y val="-4.19098897769898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BF-4FCC-B504-1EA2D6C716CA}"/>
                </c:ext>
              </c:extLst>
            </c:dLbl>
            <c:dLbl>
              <c:idx val="1"/>
              <c:layout>
                <c:manualLayout>
                  <c:x val="0"/>
                  <c:y val="-1.25729669330969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BF-4FCC-B504-1EA2D6C716CA}"/>
                </c:ext>
              </c:extLst>
            </c:dLbl>
            <c:dLbl>
              <c:idx val="5"/>
              <c:layout>
                <c:manualLayout>
                  <c:x val="5.4051972035126976E-3"/>
                  <c:y val="-4.19098897769898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BF-4FCC-B504-1EA2D6C716CA}"/>
                </c:ext>
              </c:extLst>
            </c:dLbl>
            <c:dLbl>
              <c:idx val="6"/>
              <c:layout>
                <c:manualLayout>
                  <c:x val="-1.3512993008781842E-2"/>
                  <c:y val="-2.514593386619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'2024'!$B$8:$M$8</c:f>
              <c:numCache>
                <c:formatCode>#,##0</c:formatCode>
                <c:ptCount val="12"/>
                <c:pt idx="0">
                  <c:v>518.52800000000002</c:v>
                </c:pt>
                <c:pt idx="1">
                  <c:v>-393.85</c:v>
                </c:pt>
                <c:pt idx="2">
                  <c:v>-256.63900000000001</c:v>
                </c:pt>
                <c:pt idx="3">
                  <c:v>769.74</c:v>
                </c:pt>
                <c:pt idx="4">
                  <c:v>38.106999999999999</c:v>
                </c:pt>
                <c:pt idx="5">
                  <c:v>37.000999999999998</c:v>
                </c:pt>
                <c:pt idx="6">
                  <c:v>-476.55399999999997</c:v>
                </c:pt>
                <c:pt idx="7">
                  <c:v>276.88</c:v>
                </c:pt>
                <c:pt idx="8">
                  <c:v>-344.17</c:v>
                </c:pt>
                <c:pt idx="9">
                  <c:v>-299.13099999999997</c:v>
                </c:pt>
                <c:pt idx="10">
                  <c:v>389.70400000000001</c:v>
                </c:pt>
                <c:pt idx="11">
                  <c:v>-7.3010000000000002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6BF-4FCC-B504-1EA2D6C716CA}"/>
            </c:ext>
          </c:extLst>
        </c:ser>
        <c:ser>
          <c:idx val="2"/>
          <c:order val="2"/>
          <c:tx>
            <c:strRef>
              <c:f>'2024'!$A$9</c:f>
              <c:strCache>
                <c:ptCount val="1"/>
                <c:pt idx="0">
                  <c:v>APROVISIONAMIENTO DE PROD. INTERMEDIOS Y MAT. AUXILIARES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807202361432757E-2"/>
                  <c:y val="-2.08529751566752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BF-4FCC-B504-1EA2D6C716CA}"/>
                </c:ext>
              </c:extLst>
            </c:dLbl>
            <c:dLbl>
              <c:idx val="1"/>
              <c:layout>
                <c:manualLayout>
                  <c:x val="1.3512993008781718E-2"/>
                  <c:y val="-4.19098897769902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BF-4FCC-B504-1EA2D6C716CA}"/>
                </c:ext>
              </c:extLst>
            </c:dLbl>
            <c:dLbl>
              <c:idx val="3"/>
              <c:layout>
                <c:manualLayout>
                  <c:x val="2.9728584619319737E-2"/>
                  <c:y val="4.19131897683109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6BF-4FCC-B504-1EA2D6C716CA}"/>
                </c:ext>
              </c:extLst>
            </c:dLbl>
            <c:dLbl>
              <c:idx val="5"/>
              <c:layout>
                <c:manualLayout>
                  <c:x val="-3.5133781822832631E-2"/>
                  <c:y val="-1.67639559107960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6BF-4FCC-B504-1EA2D6C716CA}"/>
                </c:ext>
              </c:extLst>
            </c:dLbl>
            <c:dLbl>
              <c:idx val="7"/>
              <c:layout>
                <c:manualLayout>
                  <c:x val="-9.9094137320469094E-17"/>
                  <c:y val="-6.70558236431838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'2024'!$B$9:$M$9</c:f>
              <c:numCache>
                <c:formatCode>#,##0</c:formatCode>
                <c:ptCount val="12"/>
                <c:pt idx="0">
                  <c:v>149.529</c:v>
                </c:pt>
                <c:pt idx="1">
                  <c:v>33.624000000000024</c:v>
                </c:pt>
                <c:pt idx="2">
                  <c:v>-72.738999999999976</c:v>
                </c:pt>
                <c:pt idx="3">
                  <c:v>124.71199999999999</c:v>
                </c:pt>
                <c:pt idx="4">
                  <c:v>8.1450000000000031</c:v>
                </c:pt>
                <c:pt idx="5">
                  <c:v>-61.539000000000001</c:v>
                </c:pt>
                <c:pt idx="6">
                  <c:v>-38.465000000000032</c:v>
                </c:pt>
                <c:pt idx="7">
                  <c:v>31.04000000000002</c:v>
                </c:pt>
                <c:pt idx="8">
                  <c:v>-168.59300000000002</c:v>
                </c:pt>
                <c:pt idx="9">
                  <c:v>121.61899999999997</c:v>
                </c:pt>
                <c:pt idx="10">
                  <c:v>40.543000000000006</c:v>
                </c:pt>
                <c:pt idx="11">
                  <c:v>-196.66900000000001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6BF-4FCC-B504-1EA2D6C716CA}"/>
            </c:ext>
          </c:extLst>
        </c:ser>
        <c:ser>
          <c:idx val="3"/>
          <c:order val="3"/>
          <c:tx>
            <c:strRef>
              <c:f>'2024'!$A$10</c:f>
              <c:strCache>
                <c:ptCount val="1"/>
                <c:pt idx="0">
                  <c:v>PRODUCTOS TRASPASADOS Y BACKFLOWS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9.9094137320469094E-17"/>
                  <c:y val="-2.0954944888495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6BF-4FCC-B504-1EA2D6C716CA}"/>
                </c:ext>
              </c:extLst>
            </c:dLbl>
            <c:dLbl>
              <c:idx val="7"/>
              <c:layout>
                <c:manualLayout>
                  <c:x val="3.5133781822832534E-2"/>
                  <c:y val="1.25729669330969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'2024'!$B$10:$M$10</c:f>
              <c:numCache>
                <c:formatCode>#,##0</c:formatCode>
                <c:ptCount val="12"/>
                <c:pt idx="0">
                  <c:v>43.488</c:v>
                </c:pt>
                <c:pt idx="1">
                  <c:v>22.417999999999999</c:v>
                </c:pt>
                <c:pt idx="2">
                  <c:v>30.14</c:v>
                </c:pt>
                <c:pt idx="3">
                  <c:v>55.326999999999998</c:v>
                </c:pt>
                <c:pt idx="4">
                  <c:v>27.544999999999998</c:v>
                </c:pt>
                <c:pt idx="5">
                  <c:v>88.7</c:v>
                </c:pt>
                <c:pt idx="6">
                  <c:v>48.823999999999998</c:v>
                </c:pt>
                <c:pt idx="7">
                  <c:v>19.875</c:v>
                </c:pt>
                <c:pt idx="8">
                  <c:v>41.548999999999999</c:v>
                </c:pt>
                <c:pt idx="9">
                  <c:v>57.52</c:v>
                </c:pt>
                <c:pt idx="10">
                  <c:v>50.742999999999995</c:v>
                </c:pt>
                <c:pt idx="11">
                  <c:v>51.342999999999996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6BF-4FCC-B504-1EA2D6C716CA}"/>
            </c:ext>
          </c:extLst>
        </c:ser>
        <c:ser>
          <c:idx val="4"/>
          <c:order val="4"/>
          <c:tx>
            <c:strRef>
              <c:f>'2024'!$A$11</c:f>
              <c:strCache>
                <c:ptCount val="1"/>
                <c:pt idx="0">
                  <c:v>CONSUMO DIRECTO DE CRUDO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4051972035126473E-3"/>
                  <c:y val="1.67639559107959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'2024'!$B$11:$M$11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6BF-4FCC-B504-1EA2D6C716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30332944"/>
        <c:axId val="430338192"/>
      </c:barChart>
      <c:valAx>
        <c:axId val="430338192"/>
        <c:scaling>
          <c:orientation val="minMax"/>
        </c:scaling>
        <c:delete val="1"/>
        <c:axPos val="l"/>
        <c:numFmt formatCode="#.##0" sourceLinked="0"/>
        <c:majorTickMark val="none"/>
        <c:minorTickMark val="none"/>
        <c:tickLblPos val="nextTo"/>
        <c:crossAx val="430332944"/>
        <c:crosses val="autoZero"/>
        <c:crossBetween val="between"/>
      </c:valAx>
      <c:dateAx>
        <c:axId val="43033294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0" i="0" u="none" strike="noStrike" kern="1200" cap="all" spc="12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819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738932643710192E-2"/>
          <c:y val="0.76163502689987939"/>
          <c:w val="0.94052192165550486"/>
          <c:h val="0.213219039233926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8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'2025'!$AV$3</c:f>
          <c:strCache>
            <c:ptCount val="1"/>
            <c:pt idx="0">
              <c:v>DICIEMBRE 2025</c:v>
            </c:pt>
          </c:strCache>
        </c:strRef>
      </c:tx>
      <c:layout>
        <c:manualLayout>
          <c:xMode val="edge"/>
          <c:yMode val="edge"/>
          <c:x val="0.42702007380557216"/>
          <c:y val="3.3333377077922673E-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40404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'2025'!$AU$6:$AU$8</c:f>
              <c:strCache>
                <c:ptCount val="3"/>
                <c:pt idx="0">
                  <c:v>IMPORTACIONES DE CRUDO</c:v>
                </c:pt>
                <c:pt idx="1">
                  <c:v>TOTAL PROCESADO</c:v>
                </c:pt>
                <c:pt idx="2">
                  <c:v>PRODUCCION BRUTA DE REFINERIA</c:v>
                </c:pt>
              </c:strCache>
            </c:strRef>
          </c:cat>
          <c:val>
            <c:numRef>
              <c:f>'2025'!$AV$6:$AV$8</c:f>
              <c:numCache>
                <c:formatCode>0.0</c:formatCode>
                <c:ptCount val="3"/>
                <c:pt idx="0">
                  <c:v>5313.8450000000003</c:v>
                </c:pt>
                <c:pt idx="1">
                  <c:v>5650.9429999999993</c:v>
                </c:pt>
                <c:pt idx="2">
                  <c:v>5571.9950000000008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5-4453-A9BC-B70C5C897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3221368"/>
        <c:axId val="423226944"/>
      </c:barChart>
      <c:valAx>
        <c:axId val="42322694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1368"/>
        <c:crosses val="autoZero"/>
        <c:crossBetween val="between"/>
      </c:valAx>
      <c:catAx>
        <c:axId val="423221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'2025'!$AV$3</c:f>
          <c:strCache>
            <c:ptCount val="1"/>
            <c:pt idx="0">
              <c:v>DICIEMBRE 2025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ED7D31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B48-4133-862E-FD938CA0B236}"/>
              </c:ext>
            </c:extLst>
          </c:dPt>
          <c:dLbls>
            <c:dLbl>
              <c:idx val="2"/>
              <c:layout>
                <c:manualLayout>
                  <c:x val="4.660804613773939E-3"/>
                  <c:y val="8.44372473510407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48-4133-862E-FD938CA0B2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'2025'!$AU$11:$AU$15</c:f>
              <c:strCache>
                <c:ptCount val="5"/>
                <c:pt idx="0">
                  <c:v>IMPORTACIONES DE PROD. INTERMEDIOS Y MAT. AUXILIARES</c:v>
                </c:pt>
                <c:pt idx="1">
                  <c:v>VARIACION DE STOCKS DE CRUDOS (Ef-Ei)</c:v>
                </c:pt>
                <c:pt idx="2">
                  <c:v>APROVISIONAMIENTO DE PROD. INTERMEDIOS Y MAT. AUXILIARES</c:v>
                </c:pt>
                <c:pt idx="3">
                  <c:v>PRODUCTOS TRASPASADOS Y BACKFLOWS</c:v>
                </c:pt>
                <c:pt idx="4">
                  <c:v>CONSUMO DIRECTO DE CRUDO</c:v>
                </c:pt>
              </c:strCache>
            </c:strRef>
          </c:cat>
          <c:val>
            <c:numRef>
              <c:f>'2025'!$AV$11:$AV$15</c:f>
              <c:numCache>
                <c:formatCode>0.0</c:formatCode>
                <c:ptCount val="5"/>
                <c:pt idx="0">
                  <c:v>100.20600000000013</c:v>
                </c:pt>
                <c:pt idx="1">
                  <c:v>-55.182000000000002</c:v>
                </c:pt>
                <c:pt idx="2">
                  <c:v>-110.76600000000001</c:v>
                </c:pt>
                <c:pt idx="3">
                  <c:v>70.766999999999996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48-4133-862E-FD938CA0B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337208"/>
        <c:axId val="430334584"/>
      </c:barChart>
      <c:valAx>
        <c:axId val="4303345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208"/>
        <c:crosses val="autoZero"/>
        <c:crossBetween val="between"/>
      </c:valAx>
      <c:catAx>
        <c:axId val="430337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45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'2025'!$AV$3</c:f>
          <c:strCache>
            <c:ptCount val="1"/>
            <c:pt idx="0">
              <c:v>DICIEMBRE 2025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'2025'!$AU$17:$AU$50</c:f>
              <c:strCache>
                <c:ptCount val="34"/>
                <c:pt idx="0">
                  <c:v>Gas Refinería</c:v>
                </c:pt>
                <c:pt idx="1">
                  <c:v>Etano</c:v>
                </c:pt>
                <c:pt idx="2">
                  <c:v>Butano</c:v>
                </c:pt>
                <c:pt idx="3">
                  <c:v>Propano</c:v>
                </c:pt>
                <c:pt idx="4">
                  <c:v>Nafta</c:v>
                </c:pt>
                <c:pt idx="5">
                  <c:v>Gasolina 97 I.O.</c:v>
                </c:pt>
                <c:pt idx="6">
                  <c:v>Gasolina 95 I.O.</c:v>
                </c:pt>
                <c:pt idx="7">
                  <c:v>Gasolina 98 I.O.</c:v>
                </c:pt>
                <c:pt idx="8">
                  <c:v>Gasolina de Aviación</c:v>
                </c:pt>
                <c:pt idx="9">
                  <c:v>Otras Gasolinas</c:v>
                </c:pt>
                <c:pt idx="10">
                  <c:v>Bioetanol</c:v>
                </c:pt>
                <c:pt idx="11">
                  <c:v>Gasolinas Mezcla</c:v>
                </c:pt>
                <c:pt idx="12">
                  <c:v>Queroseno aviac. Jet A1</c:v>
                </c:pt>
                <c:pt idx="13">
                  <c:v>Queroseno aviac. Jet A2</c:v>
                </c:pt>
                <c:pt idx="14">
                  <c:v>Otros Querosenos</c:v>
                </c:pt>
                <c:pt idx="15">
                  <c:v>Gasóleo A</c:v>
                </c:pt>
                <c:pt idx="16">
                  <c:v>Gasóleo A 10 PPM</c:v>
                </c:pt>
                <c:pt idx="17">
                  <c:v>Gasóleo B</c:v>
                </c:pt>
                <c:pt idx="18">
                  <c:v>Gasóleo C</c:v>
                </c:pt>
                <c:pt idx="19">
                  <c:v>Gasóleo para uso marítimo</c:v>
                </c:pt>
                <c:pt idx="20">
                  <c:v>Diésel para uso marítimo</c:v>
                </c:pt>
                <c:pt idx="21">
                  <c:v>Otros Gasóleos</c:v>
                </c:pt>
                <c:pt idx="22">
                  <c:v>Biodiesel</c:v>
                </c:pt>
                <c:pt idx="23">
                  <c:v>Biodiesel Mezcla</c:v>
                </c:pt>
                <c:pt idx="24">
                  <c:v>Fuelóleo BIA</c:v>
                </c:pt>
                <c:pt idx="25">
                  <c:v>Fuelóleo de refineria</c:v>
                </c:pt>
                <c:pt idx="26">
                  <c:v>Otros combustibles para uso marítimo</c:v>
                </c:pt>
                <c:pt idx="27">
                  <c:v>Otros Fuelóleos</c:v>
                </c:pt>
                <c:pt idx="28">
                  <c:v>Aceites y bases lubricantes</c:v>
                </c:pt>
                <c:pt idx="29">
                  <c:v>Productos asfálticos</c:v>
                </c:pt>
                <c:pt idx="30">
                  <c:v>Disolventes</c:v>
                </c:pt>
                <c:pt idx="31">
                  <c:v>Parafinas</c:v>
                </c:pt>
                <c:pt idx="32">
                  <c:v>Coque de petróleo</c:v>
                </c:pt>
                <c:pt idx="33">
                  <c:v>Otros Productos</c:v>
                </c:pt>
              </c:strCache>
            </c:strRef>
          </c:cat>
          <c:val>
            <c:numRef>
              <c:f>'2025'!$AV$17:$AV$50</c:f>
              <c:numCache>
                <c:formatCode>0.0</c:formatCode>
                <c:ptCount val="34"/>
                <c:pt idx="0">
                  <c:v>177.39500000000001</c:v>
                </c:pt>
                <c:pt idx="1">
                  <c:v>0</c:v>
                </c:pt>
                <c:pt idx="2">
                  <c:v>102.169</c:v>
                </c:pt>
                <c:pt idx="3">
                  <c:v>26.590999999999994</c:v>
                </c:pt>
                <c:pt idx="4">
                  <c:v>118.176</c:v>
                </c:pt>
                <c:pt idx="5">
                  <c:v>0</c:v>
                </c:pt>
                <c:pt idx="6">
                  <c:v>101.95399999999999</c:v>
                </c:pt>
                <c:pt idx="7">
                  <c:v>12.023</c:v>
                </c:pt>
                <c:pt idx="8">
                  <c:v>0</c:v>
                </c:pt>
                <c:pt idx="9">
                  <c:v>814.35699999999997</c:v>
                </c:pt>
                <c:pt idx="10">
                  <c:v>0</c:v>
                </c:pt>
                <c:pt idx="11">
                  <c:v>0</c:v>
                </c:pt>
                <c:pt idx="12">
                  <c:v>37.429000000000002</c:v>
                </c:pt>
                <c:pt idx="13">
                  <c:v>0</c:v>
                </c:pt>
                <c:pt idx="14">
                  <c:v>820.97799999999995</c:v>
                </c:pt>
                <c:pt idx="15">
                  <c:v>0</c:v>
                </c:pt>
                <c:pt idx="16">
                  <c:v>220.477</c:v>
                </c:pt>
                <c:pt idx="17">
                  <c:v>41.887999999999998</c:v>
                </c:pt>
                <c:pt idx="18">
                  <c:v>16.911000000000001</c:v>
                </c:pt>
                <c:pt idx="19">
                  <c:v>82.551000000000002</c:v>
                </c:pt>
                <c:pt idx="20">
                  <c:v>0</c:v>
                </c:pt>
                <c:pt idx="21">
                  <c:v>1950.38</c:v>
                </c:pt>
                <c:pt idx="22">
                  <c:v>37.762</c:v>
                </c:pt>
                <c:pt idx="23">
                  <c:v>0</c:v>
                </c:pt>
                <c:pt idx="24">
                  <c:v>0</c:v>
                </c:pt>
                <c:pt idx="25">
                  <c:v>9.2999999999999999E-2</c:v>
                </c:pt>
                <c:pt idx="26">
                  <c:v>0</c:v>
                </c:pt>
                <c:pt idx="27">
                  <c:v>365.63099999999997</c:v>
                </c:pt>
                <c:pt idx="28">
                  <c:v>24.800999999999998</c:v>
                </c:pt>
                <c:pt idx="29">
                  <c:v>147.65799999999999</c:v>
                </c:pt>
                <c:pt idx="30">
                  <c:v>8.3819999999999997</c:v>
                </c:pt>
                <c:pt idx="31">
                  <c:v>4.7439999999999998</c:v>
                </c:pt>
                <c:pt idx="32">
                  <c:v>295.5</c:v>
                </c:pt>
                <c:pt idx="33">
                  <c:v>164.14500000000004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1-4C17-91FE-8F9097E68FF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30337864"/>
        <c:axId val="430337536"/>
      </c:barChart>
      <c:valAx>
        <c:axId val="430337536"/>
        <c:scaling>
          <c:orientation val="minMax"/>
          <c:max val="2000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864"/>
        <c:crosses val="autoZero"/>
        <c:crossBetween val="between"/>
      </c:valAx>
      <c:catAx>
        <c:axId val="430337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Calibri" panose="020F0502020204030204" pitchFamily="34" charset="0"/>
                <a:cs typeface="Calibri" panose="020F0502020204030204" pitchFamily="34" charset="0"/>
              </a:rPr>
              <a:t>Producción Bruta - Gas Refineria (kt)</a:t>
            </a:r>
          </a:p>
        </c:rich>
      </c:tx>
      <c:layout>
        <c:manualLayout>
          <c:xMode val="edge"/>
          <c:yMode val="edge"/>
          <c:x val="0.18324678593978219"/>
          <c:y val="4.1793347800730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'2025'!$A$16</c:f>
              <c:strCache>
                <c:ptCount val="1"/>
                <c:pt idx="0">
                  <c:v>Gas Refinería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'2025'!$B$16:$M$16</c:f>
              <c:numCache>
                <c:formatCode>#,##0</c:formatCode>
                <c:ptCount val="12"/>
                <c:pt idx="0">
                  <c:v>172.273</c:v>
                </c:pt>
                <c:pt idx="1">
                  <c:v>187.315</c:v>
                </c:pt>
                <c:pt idx="2">
                  <c:v>216.72200000000001</c:v>
                </c:pt>
                <c:pt idx="3">
                  <c:v>169.70699999999999</c:v>
                </c:pt>
                <c:pt idx="4">
                  <c:v>143.37700000000001</c:v>
                </c:pt>
                <c:pt idx="5">
                  <c:v>162.38999999999999</c:v>
                </c:pt>
                <c:pt idx="6">
                  <c:v>174.90899999999999</c:v>
                </c:pt>
                <c:pt idx="7">
                  <c:v>190.39699999999999</c:v>
                </c:pt>
                <c:pt idx="8">
                  <c:v>177.41</c:v>
                </c:pt>
                <c:pt idx="9">
                  <c:v>193.821</c:v>
                </c:pt>
                <c:pt idx="10">
                  <c:v>174.13200000000001</c:v>
                </c:pt>
                <c:pt idx="11">
                  <c:v>177.39500000000001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0-435C-B9C8-DB88191F0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032240"/>
        <c:axId val="581032896"/>
      </c:lineChart>
      <c:dateAx>
        <c:axId val="5810322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896"/>
        <c:crosses val="autoZero"/>
        <c:auto val="1"/>
        <c:lblOffset val="100"/>
        <c:baseTimeUnit val="months"/>
      </c:dateAx>
      <c:valAx>
        <c:axId val="58103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  <a:ea typeface="+mn-ea"/>
                <a:cs typeface="+mn-cs"/>
              </a:rPr>
              <a:t>PRODUCCION BRUTA DE REFINERIA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'2025'!$A$15</c:f>
              <c:strCache>
                <c:ptCount val="1"/>
                <c:pt idx="0">
                  <c:v>PRODUCCION BRUTA DE REFINERIA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8EE-466E-B2C5-BE4643FEF595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'2025'!$B$15:$M$15</c:f>
              <c:numCache>
                <c:formatCode>#,##0</c:formatCode>
                <c:ptCount val="12"/>
                <c:pt idx="0">
                  <c:v>5148.6449999999986</c:v>
                </c:pt>
                <c:pt idx="1">
                  <c:v>4695.6149999999998</c:v>
                </c:pt>
                <c:pt idx="2">
                  <c:v>5103.2249999999995</c:v>
                </c:pt>
                <c:pt idx="3">
                  <c:v>4519.473</c:v>
                </c:pt>
                <c:pt idx="4">
                  <c:v>4728.6350000000002</c:v>
                </c:pt>
                <c:pt idx="5">
                  <c:v>4783.87</c:v>
                </c:pt>
                <c:pt idx="6">
                  <c:v>5581.4340000000002</c:v>
                </c:pt>
                <c:pt idx="7">
                  <c:v>5449.0969999999998</c:v>
                </c:pt>
                <c:pt idx="8">
                  <c:v>5232.9759999999997</c:v>
                </c:pt>
                <c:pt idx="9">
                  <c:v>5455.0219999999999</c:v>
                </c:pt>
                <c:pt idx="10">
                  <c:v>5125.1000000000004</c:v>
                </c:pt>
                <c:pt idx="11">
                  <c:v>5571.9950000000008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EE-466E-B2C5-BE4643FEF5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PRODUCCION NACIONAL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'2026'!$A$5</c:f>
              <c:strCache>
                <c:ptCount val="1"/>
                <c:pt idx="0">
                  <c:v>PRODUCCION NACIONAL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</c:numCache>
            </c:numRef>
          </c:cat>
          <c:val>
            <c:numRef>
              <c:f>'2026'!$B$5:$M$5</c:f>
              <c:numCache>
                <c:formatCode>#,##0</c:formatCode>
                <c:ptCount val="12"/>
                <c:pt idx="0">
                  <c:v>0.154</c:v>
                </c:pt>
                <c:pt idx="1">
                  <c:v>6.2E-2</c:v>
                </c:pt>
                <c:pt idx="2">
                  <c:v>8.4000000000000005E-2</c:v>
                </c:pt>
                <c:pt idx="3">
                  <c:v>3.3000000000000002E-2</c:v>
                </c:pt>
                <c:pt idx="4">
                  <c:v>0.11600000000000001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27-47FF-8B2B-6655EC6101B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23222024"/>
        <c:axId val="423223664"/>
      </c:barChart>
      <c:valAx>
        <c:axId val="42322366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0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2024"/>
        <c:crosses val="autoZero"/>
        <c:crossBetween val="between"/>
      </c:valAx>
      <c:dateAx>
        <c:axId val="42322202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36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IMPORTACIONES DE CRUDO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'2026'!$A$6</c:f>
              <c:strCache>
                <c:ptCount val="1"/>
                <c:pt idx="0">
                  <c:v>IMPORTACIONES DE CRUDO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66D-421A-A962-635D087F1FD0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</c:numCache>
            </c:numRef>
          </c:cat>
          <c:val>
            <c:numRef>
              <c:f>'2026'!$B$6:$M$6</c:f>
              <c:numCache>
                <c:formatCode>#,##0</c:formatCode>
                <c:ptCount val="12"/>
                <c:pt idx="0">
                  <c:v>5061.4049999999997</c:v>
                </c:pt>
                <c:pt idx="1">
                  <c:v>4429.7619999999997</c:v>
                </c:pt>
                <c:pt idx="2">
                  <c:v>4578.1930000000002</c:v>
                </c:pt>
                <c:pt idx="3">
                  <c:v>5556.0010000000002</c:v>
                </c:pt>
                <c:pt idx="4">
                  <c:v>5182.4089999999997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6D-421A-A962-635D087F1F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+mn-ea"/>
                <a:cs typeface="+mn-cs"/>
              </a:defRPr>
            </a:pPr>
            <a:r>
              <a:rPr lang="es-ES" sz="1100" b="1">
                <a:solidFill>
                  <a:schemeClr val="tx1">
                    <a:lumMod val="65000"/>
                    <a:lumOff val="35000"/>
                  </a:schemeClr>
                </a:solidFill>
              </a:rPr>
              <a:t>Evolución</a:t>
            </a:r>
            <a:r>
              <a:rPr lang="es-ES" sz="1100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  <a:r>
              <a:rPr lang="es-ES" sz="11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de Importaciones de Crudo (kt)</a:t>
            </a:r>
            <a:endParaRPr lang="es-ES" sz="1100" b="1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  <c:layout>
        <c:manualLayout>
          <c:xMode val="edge"/>
          <c:yMode val="edge"/>
          <c:x val="0.23269352043204877"/>
          <c:y val="1.6887129697217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5958541649888413E-2"/>
          <c:y val="6.2629545284295901E-2"/>
          <c:w val="0.92698320982414695"/>
          <c:h val="0.66910087547613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'2026'!$A$7</c:f>
              <c:strCache>
                <c:ptCount val="1"/>
                <c:pt idx="0">
                  <c:v>IMPORTACIONES DE PROD. INTERMEDIOS Y MAT. AUXILIARES</c:v>
                </c:pt>
              </c:strCache>
            </c:strRef>
          </c:tx>
          <c:spPr>
            <a:solidFill>
              <a:srgbClr val="EF771D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2.1588899144267079E-2"/>
                  <c:y val="1.60245805682702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17-4E15-AC33-DD60A1B10692}"/>
                </c:ext>
              </c:extLst>
            </c:dLbl>
            <c:dLbl>
              <c:idx val="2"/>
              <c:layout>
                <c:manualLayout>
                  <c:x val="-1.8902239214699881E-2"/>
                  <c:y val="4.47458971263629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17-4E15-AC33-DD60A1B10692}"/>
                </c:ext>
              </c:extLst>
            </c:dLbl>
            <c:dLbl>
              <c:idx val="3"/>
              <c:layout>
                <c:manualLayout>
                  <c:x val="-1.086970243761636E-2"/>
                  <c:y val="4.06772147702490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17-4E15-AC33-DD60A1B10692}"/>
                </c:ext>
              </c:extLst>
            </c:dLbl>
            <c:dLbl>
              <c:idx val="6"/>
              <c:layout>
                <c:manualLayout>
                  <c:x val="2.7025986017563488E-3"/>
                  <c:y val="-4.1909889776989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17-4E15-AC33-DD60A1B10692}"/>
                </c:ext>
              </c:extLst>
            </c:dLbl>
            <c:dLbl>
              <c:idx val="7"/>
              <c:layout>
                <c:manualLayout>
                  <c:x val="-2.6978085105347743E-2"/>
                  <c:y val="-4.926106796586060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17-4E15-AC33-DD60A1B10692}"/>
                </c:ext>
              </c:extLst>
            </c:dLbl>
            <c:dLbl>
              <c:idx val="9"/>
              <c:layout>
                <c:manualLayout>
                  <c:x val="2.4179939366104606E-2"/>
                  <c:y val="-5.28803792013237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17-4E15-AC33-DD60A1B106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</c:numCache>
            </c:numRef>
          </c:cat>
          <c:val>
            <c:numRef>
              <c:f>'2026'!$B$7:$M$7</c:f>
              <c:numCache>
                <c:formatCode>#,##0</c:formatCode>
                <c:ptCount val="12"/>
                <c:pt idx="0">
                  <c:v>144.42100000000028</c:v>
                </c:pt>
                <c:pt idx="1">
                  <c:v>235.07099999999991</c:v>
                </c:pt>
                <c:pt idx="2">
                  <c:v>129.87299999999959</c:v>
                </c:pt>
                <c:pt idx="3">
                  <c:v>97.498999999999796</c:v>
                </c:pt>
                <c:pt idx="4">
                  <c:v>249.90700000000015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17-4E15-AC33-DD60A1B10692}"/>
            </c:ext>
          </c:extLst>
        </c:ser>
        <c:ser>
          <c:idx val="1"/>
          <c:order val="1"/>
          <c:tx>
            <c:strRef>
              <c:f>'2026'!$A$8</c:f>
              <c:strCache>
                <c:ptCount val="1"/>
                <c:pt idx="0">
                  <c:v>VARIACION DE STOCKS DE CRUDOS (Ef-Ei)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0905935381809281E-2"/>
                  <c:y val="-4.19071400042470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117-4E15-AC33-DD60A1B10692}"/>
                </c:ext>
              </c:extLst>
            </c:dLbl>
            <c:dLbl>
              <c:idx val="1"/>
              <c:layout>
                <c:manualLayout>
                  <c:x val="4.9227225638600388E-4"/>
                  <c:y val="3.697783027736415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117-4E15-AC33-DD60A1B10692}"/>
                </c:ext>
              </c:extLst>
            </c:dLbl>
            <c:dLbl>
              <c:idx val="3"/>
              <c:layout>
                <c:manualLayout>
                  <c:x val="4.039213388282218E-2"/>
                  <c:y val="3.66094932932240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117-4E15-AC33-DD60A1B10692}"/>
                </c:ext>
              </c:extLst>
            </c:dLbl>
            <c:dLbl>
              <c:idx val="5"/>
              <c:layout>
                <c:manualLayout>
                  <c:x val="5.4051972035126976E-3"/>
                  <c:y val="-4.19098897769898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117-4E15-AC33-DD60A1B10692}"/>
                </c:ext>
              </c:extLst>
            </c:dLbl>
            <c:dLbl>
              <c:idx val="6"/>
              <c:layout>
                <c:manualLayout>
                  <c:x val="2.7248289894108029E-2"/>
                  <c:y val="-2.107816399067178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117-4E15-AC33-DD60A1B106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</c:numCache>
            </c:numRef>
          </c:cat>
          <c:val>
            <c:numRef>
              <c:f>'2026'!$B$8:$M$8</c:f>
              <c:numCache>
                <c:formatCode>#,##0</c:formatCode>
                <c:ptCount val="12"/>
                <c:pt idx="0">
                  <c:v>255.80799999999999</c:v>
                </c:pt>
                <c:pt idx="1">
                  <c:v>272.46699999999998</c:v>
                </c:pt>
                <c:pt idx="2">
                  <c:v>-596.23500000000001</c:v>
                </c:pt>
                <c:pt idx="3">
                  <c:v>521.14700000000005</c:v>
                </c:pt>
                <c:pt idx="4">
                  <c:v>410.41699999999997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117-4E15-AC33-DD60A1B10692}"/>
            </c:ext>
          </c:extLst>
        </c:ser>
        <c:ser>
          <c:idx val="2"/>
          <c:order val="2"/>
          <c:tx>
            <c:strRef>
              <c:f>'2026'!$A$9</c:f>
              <c:strCache>
                <c:ptCount val="1"/>
                <c:pt idx="0">
                  <c:v>APROVISIONAMIENTO DE PROD. INTERMEDIOS Y MAT. AUXILIARES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7471626649889251E-3"/>
                  <c:y val="7.62105234837247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117-4E15-AC33-DD60A1B10692}"/>
                </c:ext>
              </c:extLst>
            </c:dLbl>
            <c:dLbl>
              <c:idx val="1"/>
              <c:layout>
                <c:manualLayout>
                  <c:x val="1.8886373112753568E-2"/>
                  <c:y val="8.01213013762030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117-4E15-AC33-DD60A1B10692}"/>
                </c:ext>
              </c:extLst>
            </c:dLbl>
            <c:dLbl>
              <c:idx val="2"/>
              <c:layout>
                <c:manualLayout>
                  <c:x val="2.439529525652203E-2"/>
                  <c:y val="2.4406649155179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117-4E15-AC33-DD60A1B10692}"/>
                </c:ext>
              </c:extLst>
            </c:dLbl>
            <c:dLbl>
              <c:idx val="3"/>
              <c:layout>
                <c:manualLayout>
                  <c:x val="2.9728584619319737E-2"/>
                  <c:y val="4.19131897683109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117-4E15-AC33-DD60A1B10692}"/>
                </c:ext>
              </c:extLst>
            </c:dLbl>
            <c:dLbl>
              <c:idx val="5"/>
              <c:layout>
                <c:manualLayout>
                  <c:x val="-3.5133781822832631E-2"/>
                  <c:y val="-1.67639559107960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117-4E15-AC33-DD60A1B10692}"/>
                </c:ext>
              </c:extLst>
            </c:dLbl>
            <c:dLbl>
              <c:idx val="7"/>
              <c:layout>
                <c:manualLayout>
                  <c:x val="2.6866599295671905E-2"/>
                  <c:y val="5.09086553105705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117-4E15-AC33-DD60A1B10692}"/>
                </c:ext>
              </c:extLst>
            </c:dLbl>
            <c:dLbl>
              <c:idx val="9"/>
              <c:layout>
                <c:manualLayout>
                  <c:x val="2.1493279436537404E-2"/>
                  <c:y val="8.13608354010917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117-4E15-AC33-DD60A1B106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</c:numCache>
            </c:numRef>
          </c:cat>
          <c:val>
            <c:numRef>
              <c:f>'2026'!$B$9:$M$9</c:f>
              <c:numCache>
                <c:formatCode>#,##0</c:formatCode>
                <c:ptCount val="12"/>
                <c:pt idx="0">
                  <c:v>73.934000000000026</c:v>
                </c:pt>
                <c:pt idx="1">
                  <c:v>206.99200000000002</c:v>
                </c:pt>
                <c:pt idx="2">
                  <c:v>3.9110000000000582</c:v>
                </c:pt>
                <c:pt idx="3">
                  <c:v>-63.126000000000033</c:v>
                </c:pt>
                <c:pt idx="4">
                  <c:v>-7.4039999999999964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117-4E15-AC33-DD60A1B10692}"/>
            </c:ext>
          </c:extLst>
        </c:ser>
        <c:ser>
          <c:idx val="3"/>
          <c:order val="3"/>
          <c:tx>
            <c:strRef>
              <c:f>'2026'!$A$10</c:f>
              <c:strCache>
                <c:ptCount val="1"/>
                <c:pt idx="0">
                  <c:v>PRODUCTOS TRASPASADOS Y BACKFLOWS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806619506970403E-2"/>
                  <c:y val="4.06772147702490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43-418F-93C8-44295F86EB5E}"/>
                </c:ext>
              </c:extLst>
            </c:dLbl>
            <c:dLbl>
              <c:idx val="6"/>
              <c:layout>
                <c:manualLayout>
                  <c:x val="-9.9094137320469094E-17"/>
                  <c:y val="-2.0954944888495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117-4E15-AC33-DD60A1B10692}"/>
                </c:ext>
              </c:extLst>
            </c:dLbl>
            <c:dLbl>
              <c:idx val="7"/>
              <c:layout>
                <c:manualLayout>
                  <c:x val="3.5133781822832534E-2"/>
                  <c:y val="1.25729669330969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117-4E15-AC33-DD60A1B106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</c:numCache>
            </c:numRef>
          </c:cat>
          <c:val>
            <c:numRef>
              <c:f>'2026'!$B$10:$M$10</c:f>
              <c:numCache>
                <c:formatCode>#,##0</c:formatCode>
                <c:ptCount val="12"/>
                <c:pt idx="0">
                  <c:v>115.917</c:v>
                </c:pt>
                <c:pt idx="1">
                  <c:v>54.326999999999998</c:v>
                </c:pt>
                <c:pt idx="2">
                  <c:v>89.256</c:v>
                </c:pt>
                <c:pt idx="3">
                  <c:v>159.702</c:v>
                </c:pt>
                <c:pt idx="4">
                  <c:v>96.335000000000008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117-4E15-AC33-DD60A1B10692}"/>
            </c:ext>
          </c:extLst>
        </c:ser>
        <c:ser>
          <c:idx val="4"/>
          <c:order val="4"/>
          <c:tx>
            <c:strRef>
              <c:f>'2026'!$A$11</c:f>
              <c:strCache>
                <c:ptCount val="1"/>
                <c:pt idx="0">
                  <c:v>CONSUMO DIRECTO DE CRUDO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4051972035126473E-3"/>
                  <c:y val="1.67639559107959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117-4E15-AC33-DD60A1B106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</c:numCache>
            </c:numRef>
          </c:cat>
          <c:val>
            <c:numRef>
              <c:f>'2026'!$B$11:$M$11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117-4E15-AC33-DD60A1B1069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30332944"/>
        <c:axId val="430338192"/>
      </c:barChart>
      <c:valAx>
        <c:axId val="430338192"/>
        <c:scaling>
          <c:orientation val="minMax"/>
        </c:scaling>
        <c:delete val="1"/>
        <c:axPos val="l"/>
        <c:numFmt formatCode="#.##0" sourceLinked="0"/>
        <c:majorTickMark val="none"/>
        <c:minorTickMark val="none"/>
        <c:tickLblPos val="nextTo"/>
        <c:crossAx val="430332944"/>
        <c:crosses val="autoZero"/>
        <c:crossBetween val="between"/>
      </c:valAx>
      <c:dateAx>
        <c:axId val="43033294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0" i="0" u="none" strike="noStrike" kern="1200" cap="all" spc="12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819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738932643710192E-2"/>
          <c:y val="0.76163502689987939"/>
          <c:w val="0.94052192165550486"/>
          <c:h val="0.213219039233926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8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Evolución Procesado de Crudo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'2026'!$A$14</c:f>
              <c:strCache>
                <c:ptCount val="1"/>
                <c:pt idx="0">
                  <c:v>PERDIDAS DE REFINO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</c:numCache>
            </c:numRef>
          </c:cat>
          <c:val>
            <c:numRef>
              <c:f>'2026'!$B$14:$M$14</c:f>
              <c:numCache>
                <c:formatCode>#,##0</c:formatCode>
                <c:ptCount val="12"/>
                <c:pt idx="0">
                  <c:v>22.915000000000873</c:v>
                </c:pt>
                <c:pt idx="1">
                  <c:v>27.311999999999898</c:v>
                </c:pt>
                <c:pt idx="2">
                  <c:v>58.429999999999382</c:v>
                </c:pt>
                <c:pt idx="3">
                  <c:v>33.497000000001208</c:v>
                </c:pt>
                <c:pt idx="4">
                  <c:v>15.621999999999389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65-4BAA-873B-BC96139F2137}"/>
            </c:ext>
          </c:extLst>
        </c:ser>
        <c:ser>
          <c:idx val="1"/>
          <c:order val="1"/>
          <c:tx>
            <c:strRef>
              <c:f>'2026'!$A$13</c:f>
              <c:strCache>
                <c:ptCount val="1"/>
                <c:pt idx="0">
                  <c:v>PROCESADO DE CRUDO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65000"/>
                    <a:lumOff val="35000"/>
                  </a:schemeClr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</c:numCache>
            </c:numRef>
          </c:cat>
          <c:val>
            <c:numRef>
              <c:f>'2026'!$B$13:$M$13</c:f>
              <c:numCache>
                <c:formatCode>#,##0</c:formatCode>
                <c:ptCount val="12"/>
                <c:pt idx="0">
                  <c:v>4805.7510000000002</c:v>
                </c:pt>
                <c:pt idx="1">
                  <c:v>4157.357</c:v>
                </c:pt>
                <c:pt idx="2">
                  <c:v>5174.5119999999997</c:v>
                </c:pt>
                <c:pt idx="3">
                  <c:v>5034.8869999999997</c:v>
                </c:pt>
                <c:pt idx="4">
                  <c:v>4772.1080000000002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65-4BAA-873B-BC96139F2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30340488"/>
        <c:axId val="430336552"/>
      </c:barChart>
      <c:lineChart>
        <c:grouping val="standard"/>
        <c:varyColors val="0"/>
        <c:ser>
          <c:idx val="0"/>
          <c:order val="2"/>
          <c:tx>
            <c:strRef>
              <c:f>'2026'!$A$12</c:f>
              <c:strCache>
                <c:ptCount val="1"/>
                <c:pt idx="0">
                  <c:v>TOTAL PROCESADO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2-1D65-4BAA-873B-BC96139F21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</c:numCache>
            </c:numRef>
          </c:cat>
          <c:val>
            <c:numRef>
              <c:f>'2026'!$B$12:$M$12</c:f>
              <c:numCache>
                <c:formatCode>#,##0</c:formatCode>
                <c:ptCount val="12"/>
                <c:pt idx="0">
                  <c:v>4992.1550000000007</c:v>
                </c:pt>
                <c:pt idx="1">
                  <c:v>4239.7629999999999</c:v>
                </c:pt>
                <c:pt idx="2">
                  <c:v>5389.73</c:v>
                </c:pt>
                <c:pt idx="3">
                  <c:v>5355.2140000000009</c:v>
                </c:pt>
                <c:pt idx="4">
                  <c:v>5125.7539999999999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65-4BAA-873B-BC96139F2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340488"/>
        <c:axId val="430336552"/>
      </c:lineChart>
      <c:valAx>
        <c:axId val="430336552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40488"/>
        <c:crosses val="autoZero"/>
        <c:crossBetween val="between"/>
      </c:valAx>
      <c:dateAx>
        <c:axId val="430340488"/>
        <c:scaling>
          <c:orientation val="minMax"/>
        </c:scaling>
        <c:delete val="0"/>
        <c:axPos val="b"/>
        <c:numFmt formatCode="[$-C0A]mmm\-yy;@" sourceLinked="0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6552"/>
        <c:crosses val="autoZero"/>
        <c:auto val="1"/>
        <c:lblOffset val="100"/>
        <c:baseTimeUnit val="months"/>
      </c:date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Gases derivados del refino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044496512429677E-2"/>
          <c:y val="0.16329335759261288"/>
          <c:w val="0.87497128952882108"/>
          <c:h val="0.62350962688456313"/>
        </c:manualLayout>
      </c:layout>
      <c:lineChart>
        <c:grouping val="standard"/>
        <c:varyColors val="0"/>
        <c:ser>
          <c:idx val="0"/>
          <c:order val="0"/>
          <c:tx>
            <c:strRef>
              <c:f>'2026'!$A$18</c:f>
              <c:strCache>
                <c:ptCount val="1"/>
                <c:pt idx="0">
                  <c:v>Butano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BB8-4252-94FC-DC81978E58B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BB8-4252-94FC-DC81978E58B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BB8-4252-94FC-DC81978E58B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BB8-4252-94FC-DC81978E58B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8BB8-4252-94FC-DC81978E58B8}"/>
              </c:ext>
            </c:extLst>
          </c:dPt>
          <c:dLbls>
            <c:dLbl>
              <c:idx val="0"/>
              <c:layout>
                <c:manualLayout>
                  <c:x val="-8.2352915747131161E-3"/>
                  <c:y val="-2.02815656218839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B8-4252-94FC-DC81978E58B8}"/>
                </c:ext>
              </c:extLst>
            </c:dLbl>
            <c:dLbl>
              <c:idx val="2"/>
              <c:layout>
                <c:manualLayout>
                  <c:x val="-5.2156846639849735E-2"/>
                  <c:y val="-3.5818841861917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B8-4252-94FC-DC81978E58B8}"/>
                </c:ext>
              </c:extLst>
            </c:dLbl>
            <c:dLbl>
              <c:idx val="3"/>
              <c:layout>
                <c:manualLayout>
                  <c:x val="-8.2352915747131161E-3"/>
                  <c:y val="-2.83941918706374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B8-4252-94FC-DC81978E58B8}"/>
                </c:ext>
              </c:extLst>
            </c:dLbl>
            <c:dLbl>
              <c:idx val="6"/>
              <c:layout>
                <c:manualLayout>
                  <c:x val="-1.9329385558187646E-2"/>
                  <c:y val="-4.53074502929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B8-4252-94FC-DC81978E58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clip" horzOverflow="clip"/>
              <a:lstStyle/>
              <a:p>
                <a:pPr>
                  <a:defRPr>
                    <a:ln>
                      <a:noFill/>
                    </a:ln>
                    <a:solidFill>
                      <a:schemeClr val="tx1"/>
                    </a:solidFill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  <c15:showLeaderLines val="1"/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</c:numCache>
            </c:numRef>
          </c:cat>
          <c:val>
            <c:numRef>
              <c:f>'2026'!$B$18:$M$18</c:f>
              <c:numCache>
                <c:formatCode>#,##0</c:formatCode>
                <c:ptCount val="12"/>
                <c:pt idx="0">
                  <c:v>94.637</c:v>
                </c:pt>
                <c:pt idx="1">
                  <c:v>80.171999999999997</c:v>
                </c:pt>
                <c:pt idx="2">
                  <c:v>106.509</c:v>
                </c:pt>
                <c:pt idx="3">
                  <c:v>116.39400000000001</c:v>
                </c:pt>
                <c:pt idx="4">
                  <c:v>97.680999999999997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BB8-4252-94FC-DC81978E58B8}"/>
            </c:ext>
          </c:extLst>
        </c:ser>
        <c:ser>
          <c:idx val="1"/>
          <c:order val="1"/>
          <c:tx>
            <c:strRef>
              <c:f>'2026'!$A$19</c:f>
              <c:strCache>
                <c:ptCount val="1"/>
                <c:pt idx="0">
                  <c:v>Propano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</c:numCache>
            </c:numRef>
          </c:cat>
          <c:val>
            <c:numRef>
              <c:f>'2026'!$B$19:$M$19</c:f>
              <c:numCache>
                <c:formatCode>#,##0</c:formatCode>
                <c:ptCount val="12"/>
                <c:pt idx="0">
                  <c:v>26.518000000000001</c:v>
                </c:pt>
                <c:pt idx="1">
                  <c:v>39.024000000000001</c:v>
                </c:pt>
                <c:pt idx="2">
                  <c:v>36.968000000000004</c:v>
                </c:pt>
                <c:pt idx="3">
                  <c:v>42.35899999999998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BB8-4252-94FC-DC81978E58B8}"/>
            </c:ext>
          </c:extLst>
        </c:ser>
        <c:ser>
          <c:idx val="2"/>
          <c:order val="2"/>
          <c:tx>
            <c:strRef>
              <c:f>'2026'!$A$17</c:f>
              <c:strCache>
                <c:ptCount val="1"/>
                <c:pt idx="0">
                  <c:v>Etano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</c:numCache>
            </c:numRef>
          </c:cat>
          <c:val>
            <c:numRef>
              <c:f>'2026'!$B$17:$M$17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BB8-4252-94FC-DC81978E58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0335568"/>
        <c:axId val="430339176"/>
      </c:lineChart>
      <c:valAx>
        <c:axId val="43033917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5568"/>
        <c:crosses val="autoZero"/>
        <c:crossBetween val="between"/>
      </c:valAx>
      <c:dateAx>
        <c:axId val="4303355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917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1271931056992105"/>
          <c:y val="0.93320806190997896"/>
          <c:w val="0.6953456552892836"/>
          <c:h val="5.350698384117191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Evolución Procesado de Crudo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'2024'!$A$14</c:f>
              <c:strCache>
                <c:ptCount val="1"/>
                <c:pt idx="0">
                  <c:v>PERDIDAS DE REFINO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'2024'!$B$14:$M$14</c:f>
              <c:numCache>
                <c:formatCode>#,##0</c:formatCode>
                <c:ptCount val="12"/>
                <c:pt idx="0">
                  <c:v>109.16399999999976</c:v>
                </c:pt>
                <c:pt idx="1">
                  <c:v>262.67499999999836</c:v>
                </c:pt>
                <c:pt idx="2">
                  <c:v>155.60100000000057</c:v>
                </c:pt>
                <c:pt idx="3">
                  <c:v>148.85899999999947</c:v>
                </c:pt>
                <c:pt idx="4">
                  <c:v>286.02500000000055</c:v>
                </c:pt>
                <c:pt idx="5">
                  <c:v>110.57300000000032</c:v>
                </c:pt>
                <c:pt idx="6">
                  <c:v>57.899000000000342</c:v>
                </c:pt>
                <c:pt idx="7">
                  <c:v>89.593999999999141</c:v>
                </c:pt>
                <c:pt idx="8">
                  <c:v>34.008999999998196</c:v>
                </c:pt>
                <c:pt idx="9">
                  <c:v>81.345000000000255</c:v>
                </c:pt>
                <c:pt idx="10">
                  <c:v>205.23099999999886</c:v>
                </c:pt>
                <c:pt idx="11">
                  <c:v>67.05199999999968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FB-4BD8-A84D-38A735A04BD6}"/>
            </c:ext>
          </c:extLst>
        </c:ser>
        <c:ser>
          <c:idx val="1"/>
          <c:order val="1"/>
          <c:tx>
            <c:strRef>
              <c:f>'2024'!$A$13</c:f>
              <c:strCache>
                <c:ptCount val="1"/>
                <c:pt idx="0">
                  <c:v>PROCESADO DE CRUDO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65000"/>
                    <a:lumOff val="35000"/>
                  </a:schemeClr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'2024'!$B$13:$M$13</c:f>
              <c:numCache>
                <c:formatCode>#,##0</c:formatCode>
                <c:ptCount val="12"/>
                <c:pt idx="0">
                  <c:v>5721.6009999999997</c:v>
                </c:pt>
                <c:pt idx="1">
                  <c:v>5481.3770000000004</c:v>
                </c:pt>
                <c:pt idx="2">
                  <c:v>5317.4790000000003</c:v>
                </c:pt>
                <c:pt idx="3">
                  <c:v>5378.3429999999998</c:v>
                </c:pt>
                <c:pt idx="4">
                  <c:v>5884.12</c:v>
                </c:pt>
                <c:pt idx="5">
                  <c:v>5039.2160000000003</c:v>
                </c:pt>
                <c:pt idx="6">
                  <c:v>5428.4449999999997</c:v>
                </c:pt>
                <c:pt idx="7">
                  <c:v>5489.43</c:v>
                </c:pt>
                <c:pt idx="8">
                  <c:v>5014.5640000000003</c:v>
                </c:pt>
                <c:pt idx="9">
                  <c:v>5261.5910000000003</c:v>
                </c:pt>
                <c:pt idx="10">
                  <c:v>5078.1760000000004</c:v>
                </c:pt>
                <c:pt idx="11">
                  <c:v>5241.8440000000001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FB-4BD8-A84D-38A735A04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30340488"/>
        <c:axId val="430336552"/>
      </c:barChart>
      <c:lineChart>
        <c:grouping val="standard"/>
        <c:varyColors val="0"/>
        <c:ser>
          <c:idx val="0"/>
          <c:order val="2"/>
          <c:tx>
            <c:strRef>
              <c:f>'2024'!$A$12</c:f>
              <c:strCache>
                <c:ptCount val="1"/>
                <c:pt idx="0">
                  <c:v>TOTAL PROCESADO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2-FFFB-4BD8-A84D-38A735A04B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'2024'!$B$12:$M$12</c:f>
              <c:numCache>
                <c:formatCode>#,##0</c:formatCode>
                <c:ptCount val="12"/>
                <c:pt idx="0">
                  <c:v>5736.3540000000003</c:v>
                </c:pt>
                <c:pt idx="1">
                  <c:v>5487.0810000000001</c:v>
                </c:pt>
                <c:pt idx="2">
                  <c:v>5325.01</c:v>
                </c:pt>
                <c:pt idx="3">
                  <c:v>5382.4810000000007</c:v>
                </c:pt>
                <c:pt idx="4">
                  <c:v>5928.683</c:v>
                </c:pt>
                <c:pt idx="5">
                  <c:v>5071.6970000000001</c:v>
                </c:pt>
                <c:pt idx="6">
                  <c:v>5597.4610000000002</c:v>
                </c:pt>
                <c:pt idx="7">
                  <c:v>5572.0019999999995</c:v>
                </c:pt>
                <c:pt idx="8">
                  <c:v>5080.0999999999995</c:v>
                </c:pt>
                <c:pt idx="9">
                  <c:v>5264.9530000000013</c:v>
                </c:pt>
                <c:pt idx="10">
                  <c:v>5085.9600000000009</c:v>
                </c:pt>
                <c:pt idx="11">
                  <c:v>5482.2209999999995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FB-4BD8-A84D-38A735A04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340488"/>
        <c:axId val="430336552"/>
      </c:lineChart>
      <c:valAx>
        <c:axId val="430336552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40488"/>
        <c:crosses val="autoZero"/>
        <c:crossBetween val="between"/>
      </c:valAx>
      <c:dateAx>
        <c:axId val="430340488"/>
        <c:scaling>
          <c:orientation val="minMax"/>
        </c:scaling>
        <c:delete val="0"/>
        <c:axPos val="b"/>
        <c:numFmt formatCode="[$-C0A]mmm\-yy;@" sourceLinked="0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6552"/>
        <c:crosses val="autoZero"/>
        <c:auto val="1"/>
        <c:lblOffset val="100"/>
        <c:baseTimeUnit val="months"/>
      </c:date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Gasolinas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'2026'!$A$20</c:f>
              <c:strCache>
                <c:ptCount val="1"/>
                <c:pt idx="0">
                  <c:v>Nafta</c:v>
                </c:pt>
              </c:strCache>
            </c:strRef>
          </c:tx>
          <c:spPr>
            <a:ln w="28575" cap="rnd" cmpd="sng" algn="ctr">
              <a:solidFill>
                <a:srgbClr val="EF771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</c:numCache>
            </c:numRef>
          </c:cat>
          <c:val>
            <c:numRef>
              <c:f>'2026'!$B$20:$M$20</c:f>
              <c:numCache>
                <c:formatCode>#,##0</c:formatCode>
                <c:ptCount val="12"/>
                <c:pt idx="0">
                  <c:v>107.73099999999999</c:v>
                </c:pt>
                <c:pt idx="1">
                  <c:v>117.679</c:v>
                </c:pt>
                <c:pt idx="2">
                  <c:v>125.303</c:v>
                </c:pt>
                <c:pt idx="3">
                  <c:v>120.675</c:v>
                </c:pt>
                <c:pt idx="4">
                  <c:v>71.284999999999997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07-4D4C-A449-00531D04577E}"/>
            </c:ext>
          </c:extLst>
        </c:ser>
        <c:ser>
          <c:idx val="1"/>
          <c:order val="1"/>
          <c:tx>
            <c:strRef>
              <c:f>'2026'!$A$21</c:f>
              <c:strCache>
                <c:ptCount val="1"/>
                <c:pt idx="0">
                  <c:v>Gasolina 97 I.O.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</c:numCache>
            </c:numRef>
          </c:cat>
          <c:val>
            <c:numRef>
              <c:f>'2026'!$B$21:$M$21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7-4D4C-A449-00531D04577E}"/>
            </c:ext>
          </c:extLst>
        </c:ser>
        <c:ser>
          <c:idx val="2"/>
          <c:order val="2"/>
          <c:tx>
            <c:strRef>
              <c:f>'2026'!$A$22</c:f>
              <c:strCache>
                <c:ptCount val="1"/>
                <c:pt idx="0">
                  <c:v>Gasolina 95 I.O.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</c:numCache>
            </c:numRef>
          </c:cat>
          <c:val>
            <c:numRef>
              <c:f>'2026'!$B$22:$M$22</c:f>
              <c:numCache>
                <c:formatCode>#,##0</c:formatCode>
                <c:ptCount val="12"/>
                <c:pt idx="0">
                  <c:v>100.416</c:v>
                </c:pt>
                <c:pt idx="1">
                  <c:v>69.212999999999994</c:v>
                </c:pt>
                <c:pt idx="2">
                  <c:v>91.68</c:v>
                </c:pt>
                <c:pt idx="3">
                  <c:v>81.691000000000003</c:v>
                </c:pt>
                <c:pt idx="4">
                  <c:v>78.712000000000003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07-4D4C-A449-00531D04577E}"/>
            </c:ext>
          </c:extLst>
        </c:ser>
        <c:ser>
          <c:idx val="3"/>
          <c:order val="3"/>
          <c:tx>
            <c:strRef>
              <c:f>'2026'!$A$23</c:f>
              <c:strCache>
                <c:ptCount val="1"/>
                <c:pt idx="0">
                  <c:v>Gasolina 98 I.O.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</c:numCache>
            </c:numRef>
          </c:cat>
          <c:val>
            <c:numRef>
              <c:f>'2026'!$B$23:$M$23</c:f>
              <c:numCache>
                <c:formatCode>#,##0</c:formatCode>
                <c:ptCount val="12"/>
                <c:pt idx="0">
                  <c:v>1.008</c:v>
                </c:pt>
                <c:pt idx="1">
                  <c:v>14.54</c:v>
                </c:pt>
                <c:pt idx="2">
                  <c:v>9.2439999999999998</c:v>
                </c:pt>
                <c:pt idx="3">
                  <c:v>15.617000000000001</c:v>
                </c:pt>
                <c:pt idx="4">
                  <c:v>3.8170000000000002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07-4D4C-A449-00531D04577E}"/>
            </c:ext>
          </c:extLst>
        </c:ser>
        <c:ser>
          <c:idx val="4"/>
          <c:order val="4"/>
          <c:tx>
            <c:strRef>
              <c:f>'2026'!$A$24</c:f>
              <c:strCache>
                <c:ptCount val="1"/>
                <c:pt idx="0">
                  <c:v>Gasolina de Aviación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</c:numCache>
            </c:numRef>
          </c:cat>
          <c:val>
            <c:numRef>
              <c:f>'2026'!$B$24:$M$24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07-4D4C-A449-00531D04577E}"/>
            </c:ext>
          </c:extLst>
        </c:ser>
        <c:ser>
          <c:idx val="5"/>
          <c:order val="5"/>
          <c:tx>
            <c:strRef>
              <c:f>'2026'!$A$25</c:f>
              <c:strCache>
                <c:ptCount val="1"/>
                <c:pt idx="0">
                  <c:v>Otras Gasolinas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</c:numCache>
            </c:numRef>
          </c:cat>
          <c:val>
            <c:numRef>
              <c:f>'2026'!$B$25:$M$25</c:f>
              <c:numCache>
                <c:formatCode>#,##0</c:formatCode>
                <c:ptCount val="12"/>
                <c:pt idx="0">
                  <c:v>760.81400000000008</c:v>
                </c:pt>
                <c:pt idx="1">
                  <c:v>588.79399999999987</c:v>
                </c:pt>
                <c:pt idx="2">
                  <c:v>725.33399999999995</c:v>
                </c:pt>
                <c:pt idx="3">
                  <c:v>808.95899999999995</c:v>
                </c:pt>
                <c:pt idx="4">
                  <c:v>828.1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07-4D4C-A449-00531D04577E}"/>
            </c:ext>
          </c:extLst>
        </c:ser>
        <c:ser>
          <c:idx val="6"/>
          <c:order val="6"/>
          <c:tx>
            <c:strRef>
              <c:f>'2026'!$A$27</c:f>
              <c:strCache>
                <c:ptCount val="1"/>
                <c:pt idx="0">
                  <c:v>Gasolinas Mezcla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</c:numCache>
            </c:numRef>
          </c:cat>
          <c:val>
            <c:numRef>
              <c:f>'2026'!$B$27:$H$27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07-4D4C-A449-00531D045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096472"/>
        <c:axId val="431096800"/>
      </c:lineChart>
      <c:valAx>
        <c:axId val="43109680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472"/>
        <c:crosses val="autoZero"/>
        <c:crossBetween val="between"/>
      </c:valAx>
      <c:dateAx>
        <c:axId val="4310964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80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Querosenos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'2026'!$A$28</c:f>
              <c:strCache>
                <c:ptCount val="1"/>
                <c:pt idx="0">
                  <c:v>Queroseno aviac. Jet A1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</c:numCache>
            </c:numRef>
          </c:cat>
          <c:val>
            <c:numRef>
              <c:f>'2026'!$B$28:$M$28</c:f>
              <c:numCache>
                <c:formatCode>#,##0</c:formatCode>
                <c:ptCount val="12"/>
                <c:pt idx="0">
                  <c:v>41.451999999999998</c:v>
                </c:pt>
                <c:pt idx="1">
                  <c:v>47.756</c:v>
                </c:pt>
                <c:pt idx="2">
                  <c:v>59.591999999999999</c:v>
                </c:pt>
                <c:pt idx="3">
                  <c:v>65.638999999999996</c:v>
                </c:pt>
                <c:pt idx="4">
                  <c:v>57.412999999999997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3-4CBE-B00C-BE77F0F4C380}"/>
            </c:ext>
          </c:extLst>
        </c:ser>
        <c:ser>
          <c:idx val="1"/>
          <c:order val="1"/>
          <c:tx>
            <c:strRef>
              <c:f>'2026'!$A$29</c:f>
              <c:strCache>
                <c:ptCount val="1"/>
                <c:pt idx="0">
                  <c:v>Queroseno aviac. Jet A2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</c:numCache>
            </c:numRef>
          </c:cat>
          <c:val>
            <c:numRef>
              <c:f>'2026'!$B$29:$M$29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3-4CBE-B00C-BE77F0F4C380}"/>
            </c:ext>
          </c:extLst>
        </c:ser>
        <c:ser>
          <c:idx val="2"/>
          <c:order val="2"/>
          <c:tx>
            <c:strRef>
              <c:f>'2026'!$A$30</c:f>
              <c:strCache>
                <c:ptCount val="1"/>
                <c:pt idx="0">
                  <c:v>Otros Querosenos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</c:numCache>
            </c:numRef>
          </c:cat>
          <c:val>
            <c:numRef>
              <c:f>'2026'!$B$30:$M$30</c:f>
              <c:numCache>
                <c:formatCode>#,##0</c:formatCode>
                <c:ptCount val="12"/>
                <c:pt idx="0">
                  <c:v>777.52800000000002</c:v>
                </c:pt>
                <c:pt idx="1">
                  <c:v>663.92600000000004</c:v>
                </c:pt>
                <c:pt idx="2">
                  <c:v>871.58399999999995</c:v>
                </c:pt>
                <c:pt idx="3">
                  <c:v>857.54399999999998</c:v>
                </c:pt>
                <c:pt idx="4">
                  <c:v>883.654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B3-4CBE-B00C-BE77F0F4C3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3128"/>
        <c:axId val="431324768"/>
      </c:lineChart>
      <c:valAx>
        <c:axId val="43132476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3128"/>
        <c:crosses val="autoZero"/>
        <c:crossBetween val="between"/>
      </c:valAx>
      <c:dateAx>
        <c:axId val="4313231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7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000" b="0" i="0" u="none" strike="noStrike" kern="1200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'2026'!$A$31</c:f>
              <c:strCache>
                <c:ptCount val="1"/>
                <c:pt idx="0">
                  <c:v>Gasóleo 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</c:numCache>
            </c:numRef>
          </c:cat>
          <c:val>
            <c:numRef>
              <c:f>'2026'!$B$31:$M$31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0-4E72-8C22-C199CCAD4CA5}"/>
            </c:ext>
          </c:extLst>
        </c:ser>
        <c:ser>
          <c:idx val="1"/>
          <c:order val="1"/>
          <c:tx>
            <c:strRef>
              <c:f>'2026'!$A$32</c:f>
              <c:strCache>
                <c:ptCount val="1"/>
                <c:pt idx="0">
                  <c:v>Gasóleo A 10 PPM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</c:numCache>
            </c:numRef>
          </c:cat>
          <c:val>
            <c:numRef>
              <c:f>'2026'!$B$32:$M$32</c:f>
              <c:numCache>
                <c:formatCode>#,##0</c:formatCode>
                <c:ptCount val="12"/>
                <c:pt idx="0">
                  <c:v>159.40600000000001</c:v>
                </c:pt>
                <c:pt idx="1">
                  <c:v>135.51499999999999</c:v>
                </c:pt>
                <c:pt idx="2">
                  <c:v>181.43299999999999</c:v>
                </c:pt>
                <c:pt idx="3">
                  <c:v>251.18199999999999</c:v>
                </c:pt>
                <c:pt idx="4">
                  <c:v>272.70400000000001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00-4E72-8C22-C199CCAD4CA5}"/>
            </c:ext>
          </c:extLst>
        </c:ser>
        <c:ser>
          <c:idx val="2"/>
          <c:order val="2"/>
          <c:tx>
            <c:strRef>
              <c:f>'2026'!$A$33</c:f>
              <c:strCache>
                <c:ptCount val="1"/>
                <c:pt idx="0">
                  <c:v>Gasóleo B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</c:numCache>
            </c:numRef>
          </c:cat>
          <c:val>
            <c:numRef>
              <c:f>'2026'!$B$33:$M$33</c:f>
              <c:numCache>
                <c:formatCode>#,##0</c:formatCode>
                <c:ptCount val="12"/>
                <c:pt idx="0">
                  <c:v>23.766999999999999</c:v>
                </c:pt>
                <c:pt idx="1">
                  <c:v>3.544</c:v>
                </c:pt>
                <c:pt idx="2">
                  <c:v>21.707999999999998</c:v>
                </c:pt>
                <c:pt idx="3">
                  <c:v>30.936</c:v>
                </c:pt>
                <c:pt idx="4">
                  <c:v>4.282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00-4E72-8C22-C199CCAD4CA5}"/>
            </c:ext>
          </c:extLst>
        </c:ser>
        <c:ser>
          <c:idx val="3"/>
          <c:order val="3"/>
          <c:tx>
            <c:strRef>
              <c:f>'2026'!$A$34</c:f>
              <c:strCache>
                <c:ptCount val="1"/>
                <c:pt idx="0">
                  <c:v>Gasóleo C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</c:numCache>
            </c:numRef>
          </c:cat>
          <c:val>
            <c:numRef>
              <c:f>'2026'!$B$34:$M$34</c:f>
              <c:numCache>
                <c:formatCode>#,##0</c:formatCode>
                <c:ptCount val="12"/>
                <c:pt idx="0">
                  <c:v>17.497</c:v>
                </c:pt>
                <c:pt idx="1">
                  <c:v>0.38500000000000001</c:v>
                </c:pt>
                <c:pt idx="2">
                  <c:v>4.3410000000000002</c:v>
                </c:pt>
                <c:pt idx="3">
                  <c:v>3.37</c:v>
                </c:pt>
                <c:pt idx="4">
                  <c:v>1.8640000000000001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00-4E72-8C22-C199CCAD4CA5}"/>
            </c:ext>
          </c:extLst>
        </c:ser>
        <c:ser>
          <c:idx val="4"/>
          <c:order val="4"/>
          <c:tx>
            <c:strRef>
              <c:f>'2026'!$A$35</c:f>
              <c:strCache>
                <c:ptCount val="1"/>
                <c:pt idx="0">
                  <c:v>Gasóleo para uso marítimo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</c:numCache>
            </c:numRef>
          </c:cat>
          <c:val>
            <c:numRef>
              <c:f>'2026'!$B$35:$M$35</c:f>
              <c:numCache>
                <c:formatCode>#,##0</c:formatCode>
                <c:ptCount val="12"/>
                <c:pt idx="0">
                  <c:v>75.739000000000004</c:v>
                </c:pt>
                <c:pt idx="1">
                  <c:v>71.179000000000002</c:v>
                </c:pt>
                <c:pt idx="2">
                  <c:v>80.385999999999996</c:v>
                </c:pt>
                <c:pt idx="3">
                  <c:v>73.438000000000002</c:v>
                </c:pt>
                <c:pt idx="4">
                  <c:v>75.231999999999999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00-4E72-8C22-C199CCAD4CA5}"/>
            </c:ext>
          </c:extLst>
        </c:ser>
        <c:ser>
          <c:idx val="5"/>
          <c:order val="5"/>
          <c:tx>
            <c:strRef>
              <c:f>'2026'!$A$36</c:f>
              <c:strCache>
                <c:ptCount val="1"/>
                <c:pt idx="0">
                  <c:v>Diésel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</c:numCache>
            </c:numRef>
          </c:cat>
          <c:val>
            <c:numRef>
              <c:f>'2026'!$B$36:$M$36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500-4E72-8C22-C199CCAD4CA5}"/>
            </c:ext>
          </c:extLst>
        </c:ser>
        <c:ser>
          <c:idx val="6"/>
          <c:order val="6"/>
          <c:tx>
            <c:strRef>
              <c:f>'2026'!$A$37</c:f>
              <c:strCache>
                <c:ptCount val="1"/>
                <c:pt idx="0">
                  <c:v>Otros Gasóleos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</c:numCache>
            </c:numRef>
          </c:cat>
          <c:val>
            <c:numRef>
              <c:f>'2026'!$B$37:$M$37</c:f>
              <c:numCache>
                <c:formatCode>#,##0</c:formatCode>
                <c:ptCount val="12"/>
                <c:pt idx="0">
                  <c:v>1694.88</c:v>
                </c:pt>
                <c:pt idx="1">
                  <c:v>1411.0920000000001</c:v>
                </c:pt>
                <c:pt idx="2">
                  <c:v>1840.8529999999998</c:v>
                </c:pt>
                <c:pt idx="3">
                  <c:v>1715.83</c:v>
                </c:pt>
                <c:pt idx="4">
                  <c:v>1697.3580000000002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00-4E72-8C22-C199CCAD4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325096"/>
        <c:axId val="431326080"/>
      </c:lineChart>
      <c:valAx>
        <c:axId val="43132608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5096"/>
        <c:crosses val="autoZero"/>
        <c:crossBetween val="between"/>
      </c:valAx>
      <c:dateAx>
        <c:axId val="4313250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608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Bio's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'2026'!$A$26</c:f>
              <c:strCache>
                <c:ptCount val="1"/>
                <c:pt idx="0">
                  <c:v>Bioetanol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</c:numCache>
            </c:numRef>
          </c:cat>
          <c:val>
            <c:numRef>
              <c:f>'2026'!$B$26:$M$26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2-4F22-8C30-4FE89317B0D1}"/>
            </c:ext>
          </c:extLst>
        </c:ser>
        <c:ser>
          <c:idx val="1"/>
          <c:order val="1"/>
          <c:tx>
            <c:strRef>
              <c:f>'2026'!$A$38</c:f>
              <c:strCache>
                <c:ptCount val="1"/>
                <c:pt idx="0">
                  <c:v>Biodiesel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8053376869928264E-2"/>
                  <c:y val="4.9409997938007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5A-4B4F-AB49-1B9381531340}"/>
                </c:ext>
              </c:extLst>
            </c:dLbl>
            <c:dLbl>
              <c:idx val="2"/>
              <c:layout>
                <c:manualLayout>
                  <c:x val="-2.407116915990435E-2"/>
                  <c:y val="5.3901815932372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5A-4B4F-AB49-1B9381531340}"/>
                </c:ext>
              </c:extLst>
            </c:dLbl>
            <c:dLbl>
              <c:idx val="3"/>
              <c:layout>
                <c:manualLayout>
                  <c:x val="-3.6106753739856529E-2"/>
                  <c:y val="4.49181799436436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1C-4803-8AF5-FF70BCC63F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</c:numCache>
            </c:numRef>
          </c:cat>
          <c:val>
            <c:numRef>
              <c:f>'2026'!$B$38:$M$38</c:f>
              <c:numCache>
                <c:formatCode>#,##0</c:formatCode>
                <c:ptCount val="12"/>
                <c:pt idx="0">
                  <c:v>28.835000000000001</c:v>
                </c:pt>
                <c:pt idx="1">
                  <c:v>29.776</c:v>
                </c:pt>
                <c:pt idx="2">
                  <c:v>38.939</c:v>
                </c:pt>
                <c:pt idx="3">
                  <c:v>40.362000000000002</c:v>
                </c:pt>
                <c:pt idx="4">
                  <c:v>44.658999999999999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2-4F22-8C30-4FE89317B0D1}"/>
            </c:ext>
          </c:extLst>
        </c:ser>
        <c:ser>
          <c:idx val="2"/>
          <c:order val="2"/>
          <c:tx>
            <c:strRef>
              <c:f>'2026'!$A$39</c:f>
              <c:strCache>
                <c:ptCount val="1"/>
                <c:pt idx="0">
                  <c:v>Biodiesel Mezcla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</c:numCache>
            </c:numRef>
          </c:cat>
          <c:val>
            <c:numRef>
              <c:f>'2026'!$B$39:$M$39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A2-4F22-8C30-4FE89317B0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2472"/>
        <c:axId val="431321488"/>
      </c:lineChart>
      <c:valAx>
        <c:axId val="43132148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2472"/>
        <c:crosses val="autoZero"/>
        <c:crossBetween val="between"/>
      </c:valAx>
      <c:dateAx>
        <c:axId val="4313224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148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Fuelóleos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'2026'!$A$40</c:f>
              <c:strCache>
                <c:ptCount val="1"/>
                <c:pt idx="0">
                  <c:v>Fuelóleo BIA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</c:numCache>
            </c:numRef>
          </c:cat>
          <c:val>
            <c:numRef>
              <c:f>'2026'!$B$40:$M$40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8.9999999999999993E-3</c:v>
                </c:pt>
                <c:pt idx="3">
                  <c:v>1.2E-2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1-4E61-AC29-85EBC96B25E1}"/>
            </c:ext>
          </c:extLst>
        </c:ser>
        <c:ser>
          <c:idx val="1"/>
          <c:order val="1"/>
          <c:tx>
            <c:strRef>
              <c:f>'2026'!$A$41</c:f>
              <c:strCache>
                <c:ptCount val="1"/>
                <c:pt idx="0">
                  <c:v>Fuelóleo de refineria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8.0620809860369406E-3"/>
                  <c:y val="-2.2289774083486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70-47FA-8645-129AA3413A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</c:numCache>
            </c:numRef>
          </c:cat>
          <c:val>
            <c:numRef>
              <c:f>'2026'!$B$41:$M$41</c:f>
              <c:numCache>
                <c:formatCode>#,##0</c:formatCode>
                <c:ptCount val="12"/>
                <c:pt idx="0">
                  <c:v>7.6999999999999999E-2</c:v>
                </c:pt>
                <c:pt idx="1">
                  <c:v>45.35</c:v>
                </c:pt>
                <c:pt idx="2">
                  <c:v>4.7E-2</c:v>
                </c:pt>
                <c:pt idx="3">
                  <c:v>0.02</c:v>
                </c:pt>
                <c:pt idx="4">
                  <c:v>8.5999999999999993E-2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1-4E61-AC29-85EBC96B25E1}"/>
            </c:ext>
          </c:extLst>
        </c:ser>
        <c:ser>
          <c:idx val="2"/>
          <c:order val="2"/>
          <c:tx>
            <c:strRef>
              <c:f>'2026'!$A$42</c:f>
              <c:strCache>
                <c:ptCount val="1"/>
                <c:pt idx="0">
                  <c:v>Otros combustibles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</c:numCache>
            </c:numRef>
          </c:cat>
          <c:val>
            <c:numRef>
              <c:f>'2026'!$B$42:$M$42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31-4E61-AC29-85EBC96B25E1}"/>
            </c:ext>
          </c:extLst>
        </c:ser>
        <c:ser>
          <c:idx val="3"/>
          <c:order val="3"/>
          <c:tx>
            <c:strRef>
              <c:f>'2026'!$A$43</c:f>
              <c:strCache>
                <c:ptCount val="1"/>
                <c:pt idx="0">
                  <c:v>Otros Fuelóleos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1498882629431844E-2"/>
                  <c:y val="-4.0121593350275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31-4E61-AC29-85EBC96B25E1}"/>
                </c:ext>
              </c:extLst>
            </c:dLbl>
            <c:dLbl>
              <c:idx val="1"/>
              <c:layout>
                <c:manualLayout>
                  <c:x val="-2.6873603286789805E-3"/>
                  <c:y val="3.56636385335784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24-4334-A051-B4F98C26571F}"/>
                </c:ext>
              </c:extLst>
            </c:dLbl>
            <c:dLbl>
              <c:idx val="2"/>
              <c:layout>
                <c:manualLayout>
                  <c:x val="-2.9560963615468786E-2"/>
                  <c:y val="-4.4579548166973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FA-4036-BC5E-DAB604CCAC6E}"/>
                </c:ext>
              </c:extLst>
            </c:dLbl>
            <c:dLbl>
              <c:idx val="4"/>
              <c:layout>
                <c:manualLayout>
                  <c:x val="-2.956096361546898E-2"/>
                  <c:y val="-5.38169921792730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31-4E61-AC29-85EBC96B25E1}"/>
                </c:ext>
              </c:extLst>
            </c:dLbl>
            <c:dLbl>
              <c:idx val="5"/>
              <c:layout>
                <c:manualLayout>
                  <c:x val="8.076006883047028E-3"/>
                  <c:y val="-4.9358969376239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31-4E61-AC29-85EBC96B25E1}"/>
                </c:ext>
              </c:extLst>
            </c:dLbl>
            <c:dLbl>
              <c:idx val="6"/>
              <c:layout>
                <c:manualLayout>
                  <c:x val="-9.8535407095464827E-17"/>
                  <c:y val="4.9037502983670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31-4E61-AC29-85EBC96B25E1}"/>
                </c:ext>
              </c:extLst>
            </c:dLbl>
            <c:dLbl>
              <c:idx val="7"/>
              <c:layout>
                <c:manualLayout>
                  <c:x val="2.6873603286790789E-3"/>
                  <c:y val="-1.3373864450091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31-4E61-AC29-85EBC96B25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</c:numCache>
            </c:numRef>
          </c:cat>
          <c:val>
            <c:numRef>
              <c:f>'2026'!$B$43:$M$43</c:f>
              <c:numCache>
                <c:formatCode>#,##0</c:formatCode>
                <c:ptCount val="12"/>
                <c:pt idx="0">
                  <c:v>339.95</c:v>
                </c:pt>
                <c:pt idx="1">
                  <c:v>207.1</c:v>
                </c:pt>
                <c:pt idx="2">
                  <c:v>336.274</c:v>
                </c:pt>
                <c:pt idx="3">
                  <c:v>316.65300000000002</c:v>
                </c:pt>
                <c:pt idx="4">
                  <c:v>209.661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B31-4E61-AC29-85EBC96B25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7392"/>
        <c:axId val="431324440"/>
      </c:lineChart>
      <c:valAx>
        <c:axId val="43132444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00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7392"/>
        <c:crosses val="autoZero"/>
        <c:crossBetween val="between"/>
      </c:valAx>
      <c:dateAx>
        <c:axId val="43132739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44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Productos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'2026'!$A$44</c:f>
              <c:strCache>
                <c:ptCount val="1"/>
                <c:pt idx="0">
                  <c:v>Aceites y bases lubricantes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</c:numCache>
            </c:numRef>
          </c:cat>
          <c:val>
            <c:numRef>
              <c:f>'2026'!$B$44:$M$44</c:f>
              <c:numCache>
                <c:formatCode>#,##0</c:formatCode>
                <c:ptCount val="12"/>
                <c:pt idx="0">
                  <c:v>19.731000000000002</c:v>
                </c:pt>
                <c:pt idx="1">
                  <c:v>18.738</c:v>
                </c:pt>
                <c:pt idx="2">
                  <c:v>23.952999999999999</c:v>
                </c:pt>
                <c:pt idx="3">
                  <c:v>17.86</c:v>
                </c:pt>
                <c:pt idx="4">
                  <c:v>19.468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2-4F55-9454-A6F3CAA4A8BB}"/>
            </c:ext>
          </c:extLst>
        </c:ser>
        <c:ser>
          <c:idx val="1"/>
          <c:order val="1"/>
          <c:tx>
            <c:strRef>
              <c:f>'2026'!$A$45</c:f>
              <c:strCache>
                <c:ptCount val="1"/>
                <c:pt idx="0">
                  <c:v>Productos asfálticos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9928918243438146E-2"/>
                  <c:y val="-4.5778047492438885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96-4534-895B-BCFDC1E735E8}"/>
                </c:ext>
              </c:extLst>
            </c:dLbl>
            <c:dLbl>
              <c:idx val="2"/>
              <c:layout>
                <c:manualLayout>
                  <c:x val="-6.63649569880988E-2"/>
                  <c:y val="-2.724954098893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92-4F55-9454-A6F3CAA4A8BB}"/>
                </c:ext>
              </c:extLst>
            </c:dLbl>
            <c:dLbl>
              <c:idx val="3"/>
              <c:layout>
                <c:manualLayout>
                  <c:x val="-7.1690250304138753E-2"/>
                  <c:y val="-2.724954098893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92-4F55-9454-A6F3CAA4A8BB}"/>
                </c:ext>
              </c:extLst>
            </c:dLbl>
            <c:dLbl>
              <c:idx val="4"/>
              <c:layout>
                <c:manualLayout>
                  <c:x val="-6.0705359718406224E-2"/>
                  <c:y val="4.86604471340902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92-4F55-9454-A6F3CAA4A8BB}"/>
                </c:ext>
              </c:extLst>
            </c:dLbl>
            <c:dLbl>
              <c:idx val="5"/>
              <c:layout>
                <c:manualLayout>
                  <c:x val="-3.3243133254074894E-2"/>
                  <c:y val="6.65216208100956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92-4F55-9454-A6F3CAA4A8BB}"/>
                </c:ext>
              </c:extLst>
            </c:dLbl>
            <c:dLbl>
              <c:idx val="6"/>
              <c:layout>
                <c:manualLayout>
                  <c:x val="-3.3377059117520855E-2"/>
                  <c:y val="5.3125740553091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92-4F55-9454-A6F3CAA4A8BB}"/>
                </c:ext>
              </c:extLst>
            </c:dLbl>
            <c:dLbl>
              <c:idx val="7"/>
              <c:layout>
                <c:manualLayout>
                  <c:x val="-4.9920776868669366E-2"/>
                  <c:y val="4.8660447134090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92-4F55-9454-A6F3CAA4A8BB}"/>
                </c:ext>
              </c:extLst>
            </c:dLbl>
            <c:dLbl>
              <c:idx val="8"/>
              <c:layout>
                <c:manualLayout>
                  <c:x val="-4.4228023839807527E-2"/>
                  <c:y val="-4.064542124593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92-4F55-9454-A6F3CAA4A8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</c:numCache>
            </c:numRef>
          </c:cat>
          <c:val>
            <c:numRef>
              <c:f>'2026'!$B$45:$M$45</c:f>
              <c:numCache>
                <c:formatCode>#,##0</c:formatCode>
                <c:ptCount val="12"/>
                <c:pt idx="0">
                  <c:v>119.93300000000001</c:v>
                </c:pt>
                <c:pt idx="1">
                  <c:v>89.622</c:v>
                </c:pt>
                <c:pt idx="2">
                  <c:v>151.07599999999999</c:v>
                </c:pt>
                <c:pt idx="3">
                  <c:v>152.05000000000001</c:v>
                </c:pt>
                <c:pt idx="4">
                  <c:v>166.62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192-4F55-9454-A6F3CAA4A8BB}"/>
            </c:ext>
          </c:extLst>
        </c:ser>
        <c:ser>
          <c:idx val="2"/>
          <c:order val="2"/>
          <c:tx>
            <c:strRef>
              <c:f>'2026'!$A$46</c:f>
              <c:strCache>
                <c:ptCount val="1"/>
                <c:pt idx="0">
                  <c:v>Disolventes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</c:numCache>
            </c:numRef>
          </c:cat>
          <c:val>
            <c:numRef>
              <c:f>'2026'!$B$46:$M$46</c:f>
              <c:numCache>
                <c:formatCode>#,##0</c:formatCode>
                <c:ptCount val="12"/>
                <c:pt idx="0">
                  <c:v>7.4349999999999996</c:v>
                </c:pt>
                <c:pt idx="1">
                  <c:v>10.071999999999999</c:v>
                </c:pt>
                <c:pt idx="2">
                  <c:v>13.333</c:v>
                </c:pt>
                <c:pt idx="3">
                  <c:v>10.622</c:v>
                </c:pt>
                <c:pt idx="4">
                  <c:v>10.268000000000001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192-4F55-9454-A6F3CAA4A8BB}"/>
            </c:ext>
          </c:extLst>
        </c:ser>
        <c:ser>
          <c:idx val="3"/>
          <c:order val="3"/>
          <c:tx>
            <c:strRef>
              <c:f>'2026'!$A$47</c:f>
              <c:strCache>
                <c:ptCount val="1"/>
                <c:pt idx="0">
                  <c:v>Parafinas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</c:numCache>
            </c:numRef>
          </c:cat>
          <c:val>
            <c:numRef>
              <c:f>'2026'!$B$47:$M$47</c:f>
              <c:numCache>
                <c:formatCode>#,##0</c:formatCode>
                <c:ptCount val="12"/>
                <c:pt idx="0">
                  <c:v>6.1219999999999999</c:v>
                </c:pt>
                <c:pt idx="1">
                  <c:v>4.4130000000000003</c:v>
                </c:pt>
                <c:pt idx="2">
                  <c:v>5.3150000000000004</c:v>
                </c:pt>
                <c:pt idx="3">
                  <c:v>4.8810000000000002</c:v>
                </c:pt>
                <c:pt idx="4">
                  <c:v>5.2619999999999996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192-4F55-9454-A6F3CAA4A8BB}"/>
            </c:ext>
          </c:extLst>
        </c:ser>
        <c:ser>
          <c:idx val="4"/>
          <c:order val="4"/>
          <c:tx>
            <c:strRef>
              <c:f>'2026'!$A$49</c:f>
              <c:strCache>
                <c:ptCount val="1"/>
                <c:pt idx="0">
                  <c:v>Otros Productos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4.1659981308386961E-2"/>
                  <c:y val="-4.95760080839390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92-4F55-9454-A6F3CAA4A8BB}"/>
                </c:ext>
              </c:extLst>
            </c:dLbl>
            <c:dLbl>
              <c:idx val="4"/>
              <c:layout>
                <c:manualLayout>
                  <c:x val="-5.2466691779106824E-2"/>
                  <c:y val="-5.40413015029404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68-437C-B3F3-8E1CE6CCE82C}"/>
                </c:ext>
              </c:extLst>
            </c:dLbl>
            <c:dLbl>
              <c:idx val="6"/>
              <c:layout>
                <c:manualLayout>
                  <c:x val="-3.613434540937896E-2"/>
                  <c:y val="-4.0645421245936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192-4F55-9454-A6F3CAA4A8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</c:numCache>
            </c:numRef>
          </c:cat>
          <c:val>
            <c:numRef>
              <c:f>'2026'!$B$49:$M$49</c:f>
              <c:numCache>
                <c:formatCode>#,##0</c:formatCode>
                <c:ptCount val="12"/>
                <c:pt idx="0">
                  <c:v>145.75299999999999</c:v>
                </c:pt>
                <c:pt idx="1">
                  <c:v>224.12699999999998</c:v>
                </c:pt>
                <c:pt idx="2">
                  <c:v>191.25700000000052</c:v>
                </c:pt>
                <c:pt idx="3">
                  <c:v>179.39699999999903</c:v>
                </c:pt>
                <c:pt idx="4">
                  <c:v>163.01299999999998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192-4F55-9454-A6F3CAA4A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24736"/>
        <c:axId val="431527360"/>
      </c:lineChart>
      <c:valAx>
        <c:axId val="43152736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4736"/>
        <c:crosses val="autoZero"/>
        <c:crossBetween val="between"/>
      </c:valAx>
      <c:dateAx>
        <c:axId val="4315247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73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Coque de Petróleo (kt)</a:t>
            </a:r>
          </a:p>
        </c:rich>
      </c:tx>
      <c:layout>
        <c:manualLayout>
          <c:xMode val="edge"/>
          <c:yMode val="edge"/>
          <c:x val="0.16485628126081409"/>
          <c:y val="2.6771692273099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494322945229427"/>
          <c:y val="0.17441757515924242"/>
          <c:w val="0.84927340819748931"/>
          <c:h val="0.72207294407808054"/>
        </c:manualLayout>
      </c:layout>
      <c:lineChart>
        <c:grouping val="standard"/>
        <c:varyColors val="0"/>
        <c:ser>
          <c:idx val="0"/>
          <c:order val="0"/>
          <c:tx>
            <c:strRef>
              <c:f>'2026'!$A$48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DC-4783-8138-A2EE9A969F4C}"/>
              </c:ext>
            </c:extLst>
          </c:dPt>
          <c:dPt>
            <c:idx val="1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EEDC-4783-8138-A2EE9A969F4C}"/>
              </c:ext>
            </c:extLst>
          </c:dPt>
          <c:dPt>
            <c:idx val="2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EEDC-4783-8138-A2EE9A969F4C}"/>
              </c:ext>
            </c:extLst>
          </c:dPt>
          <c:dPt>
            <c:idx val="3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EDC-4783-8138-A2EE9A969F4C}"/>
              </c:ext>
            </c:extLst>
          </c:dPt>
          <c:dPt>
            <c:idx val="4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EDC-4783-8138-A2EE9A969F4C}"/>
              </c:ext>
            </c:extLst>
          </c:dPt>
          <c:dLbls>
            <c:dLbl>
              <c:idx val="0"/>
              <c:layout>
                <c:manualLayout>
                  <c:x val="-4.5160511838099208E-2"/>
                  <c:y val="-4.01749984973918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DC-4783-8138-A2EE9A969F4C}"/>
                </c:ext>
              </c:extLst>
            </c:dLbl>
            <c:dLbl>
              <c:idx val="1"/>
              <c:layout>
                <c:manualLayout>
                  <c:x val="-1.2042803156826511E-2"/>
                  <c:y val="4.01749984973917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DC-4783-8138-A2EE9A969F4C}"/>
                </c:ext>
              </c:extLst>
            </c:dLbl>
            <c:dLbl>
              <c:idx val="2"/>
              <c:layout>
                <c:manualLayout>
                  <c:x val="-9.032102367619952E-3"/>
                  <c:y val="5.3566664663189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DC-4783-8138-A2EE9A969F4C}"/>
                </c:ext>
              </c:extLst>
            </c:dLbl>
            <c:dLbl>
              <c:idx val="3"/>
              <c:layout>
                <c:manualLayout>
                  <c:x val="-1.7579647852315406E-2"/>
                  <c:y val="-4.46251792145875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DC-4783-8138-A2EE9A969F4C}"/>
                </c:ext>
              </c:extLst>
            </c:dLbl>
            <c:dLbl>
              <c:idx val="4"/>
              <c:layout>
                <c:manualLayout>
                  <c:x val="-1.505350394603318E-2"/>
                  <c:y val="4.01749984973917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EDC-4783-8138-A2EE9A969F4C}"/>
                </c:ext>
              </c:extLst>
            </c:dLbl>
            <c:dLbl>
              <c:idx val="5"/>
              <c:layout>
                <c:manualLayout>
                  <c:x val="0"/>
                  <c:y val="4.910277594125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EDC-4783-8138-A2EE9A969F4C}"/>
                </c:ext>
              </c:extLst>
            </c:dLbl>
            <c:dLbl>
              <c:idx val="6"/>
              <c:layout>
                <c:manualLayout>
                  <c:x val="-2.6266586412920807E-2"/>
                  <c:y val="-4.0165156852965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EDC-4783-8138-A2EE9A969F4C}"/>
                </c:ext>
              </c:extLst>
            </c:dLbl>
            <c:dLbl>
              <c:idx val="7"/>
              <c:layout>
                <c:manualLayout>
                  <c:x val="-1.1039108702365185E-16"/>
                  <c:y val="-1.3391666165797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EDC-4783-8138-A2EE9A969F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</c:numCache>
            </c:numRef>
          </c:cat>
          <c:val>
            <c:numRef>
              <c:f>'2026'!$B$48:$M$48</c:f>
              <c:numCache>
                <c:formatCode>#,##0</c:formatCode>
                <c:ptCount val="12"/>
                <c:pt idx="0">
                  <c:v>261.02199999999999</c:v>
                </c:pt>
                <c:pt idx="1">
                  <c:v>208.959</c:v>
                </c:pt>
                <c:pt idx="2">
                  <c:v>249.345</c:v>
                </c:pt>
                <c:pt idx="3">
                  <c:v>240.208</c:v>
                </c:pt>
                <c:pt idx="4">
                  <c:v>235.03299999999999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EDC-4783-8138-A2EE9A969F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528672"/>
        <c:axId val="431525392"/>
      </c:lineChart>
      <c:valAx>
        <c:axId val="431525392"/>
        <c:scaling>
          <c:orientation val="minMax"/>
          <c:min val="0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8672"/>
        <c:crosses val="autoZero"/>
        <c:crossBetween val="between"/>
      </c:valAx>
      <c:dateAx>
        <c:axId val="4315286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65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539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'2026'!$AV$3</c:f>
          <c:strCache>
            <c:ptCount val="1"/>
            <c:pt idx="0">
              <c:v>MAYO 2026</c:v>
            </c:pt>
          </c:strCache>
        </c:strRef>
      </c:tx>
      <c:layout>
        <c:manualLayout>
          <c:xMode val="edge"/>
          <c:yMode val="edge"/>
          <c:x val="0.42702007380557216"/>
          <c:y val="3.3333377077922673E-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40404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'2026'!$AU$6:$AU$8</c:f>
              <c:strCache>
                <c:ptCount val="3"/>
                <c:pt idx="0">
                  <c:v>IMPORTACIONES DE CRUDO</c:v>
                </c:pt>
                <c:pt idx="1">
                  <c:v>TOTAL PROCESADO</c:v>
                </c:pt>
                <c:pt idx="2">
                  <c:v>PRODUCCION BRUTA DE REFINERIA</c:v>
                </c:pt>
              </c:strCache>
            </c:strRef>
          </c:cat>
          <c:val>
            <c:numRef>
              <c:f>'2026'!$AV$6:$AV$8</c:f>
              <c:numCache>
                <c:formatCode>0.0</c:formatCode>
                <c:ptCount val="3"/>
                <c:pt idx="0">
                  <c:v>5182.4089999999997</c:v>
                </c:pt>
                <c:pt idx="1">
                  <c:v>5125.7539999999999</c:v>
                </c:pt>
                <c:pt idx="2">
                  <c:v>5110.1320000000005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48-4567-9E3C-A6068E50A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3221368"/>
        <c:axId val="423226944"/>
      </c:barChart>
      <c:valAx>
        <c:axId val="42322694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1368"/>
        <c:crosses val="autoZero"/>
        <c:crossBetween val="between"/>
      </c:valAx>
      <c:catAx>
        <c:axId val="423221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'2026'!$AV$3</c:f>
          <c:strCache>
            <c:ptCount val="1"/>
            <c:pt idx="0">
              <c:v>MAYO 2026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ED7D31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9E5-497F-9C33-0F98979C029D}"/>
              </c:ext>
            </c:extLst>
          </c:dPt>
          <c:dLbls>
            <c:dLbl>
              <c:idx val="2"/>
              <c:layout>
                <c:manualLayout>
                  <c:x val="4.660804613773939E-3"/>
                  <c:y val="8.44372473510407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E5-497F-9C33-0F98979C02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'2026'!$AU$11:$AU$15</c:f>
              <c:strCache>
                <c:ptCount val="5"/>
                <c:pt idx="0">
                  <c:v>IMPORTACIONES DE PROD. INTERMEDIOS Y MAT. AUXILIARES</c:v>
                </c:pt>
                <c:pt idx="1">
                  <c:v>VARIACION DE STOCKS DE CRUDOS (Ef-Ei)</c:v>
                </c:pt>
                <c:pt idx="2">
                  <c:v>APROVISIONAMIENTO DE PROD. INTERMEDIOS Y MAT. AUXILIARES</c:v>
                </c:pt>
                <c:pt idx="3">
                  <c:v>PRODUCTOS TRASPASADOS Y BACKFLOWS</c:v>
                </c:pt>
                <c:pt idx="4">
                  <c:v>CONSUMO DIRECTO DE CRUDO</c:v>
                </c:pt>
              </c:strCache>
            </c:strRef>
          </c:cat>
          <c:val>
            <c:numRef>
              <c:f>'2026'!$AV$11:$AV$15</c:f>
              <c:numCache>
                <c:formatCode>0.0</c:formatCode>
                <c:ptCount val="5"/>
                <c:pt idx="0">
                  <c:v>249.90700000000015</c:v>
                </c:pt>
                <c:pt idx="1">
                  <c:v>410.41699999999997</c:v>
                </c:pt>
                <c:pt idx="2">
                  <c:v>-7.4039999999999964</c:v>
                </c:pt>
                <c:pt idx="3">
                  <c:v>96.335000000000008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E5-497F-9C33-0F98979C0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337208"/>
        <c:axId val="430334584"/>
      </c:barChart>
      <c:valAx>
        <c:axId val="4303345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208"/>
        <c:crosses val="autoZero"/>
        <c:crossBetween val="between"/>
      </c:valAx>
      <c:catAx>
        <c:axId val="430337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45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'2026'!$AV$3</c:f>
          <c:strCache>
            <c:ptCount val="1"/>
            <c:pt idx="0">
              <c:v>MAYO 2026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'2026'!$AU$17:$AU$50</c:f>
              <c:strCache>
                <c:ptCount val="34"/>
                <c:pt idx="0">
                  <c:v>Gas Refinería</c:v>
                </c:pt>
                <c:pt idx="1">
                  <c:v>Etano</c:v>
                </c:pt>
                <c:pt idx="2">
                  <c:v>Butano</c:v>
                </c:pt>
                <c:pt idx="3">
                  <c:v>Propano</c:v>
                </c:pt>
                <c:pt idx="4">
                  <c:v>Nafta</c:v>
                </c:pt>
                <c:pt idx="5">
                  <c:v>Gasolina 97 I.O.</c:v>
                </c:pt>
                <c:pt idx="6">
                  <c:v>Gasolina 95 I.O.</c:v>
                </c:pt>
                <c:pt idx="7">
                  <c:v>Gasolina 98 I.O.</c:v>
                </c:pt>
                <c:pt idx="8">
                  <c:v>Gasolina de Aviación</c:v>
                </c:pt>
                <c:pt idx="9">
                  <c:v>Otras Gasolinas</c:v>
                </c:pt>
                <c:pt idx="10">
                  <c:v>Bioetanol</c:v>
                </c:pt>
                <c:pt idx="11">
                  <c:v>Gasolinas Mezcla</c:v>
                </c:pt>
                <c:pt idx="12">
                  <c:v>Queroseno aviac. Jet A1</c:v>
                </c:pt>
                <c:pt idx="13">
                  <c:v>Queroseno aviac. Jet A2</c:v>
                </c:pt>
                <c:pt idx="14">
                  <c:v>Otros Querosenos</c:v>
                </c:pt>
                <c:pt idx="15">
                  <c:v>Gasóleo A</c:v>
                </c:pt>
                <c:pt idx="16">
                  <c:v>Gasóleo A 10 PPM</c:v>
                </c:pt>
                <c:pt idx="17">
                  <c:v>Gasóleo B</c:v>
                </c:pt>
                <c:pt idx="18">
                  <c:v>Gasóleo C</c:v>
                </c:pt>
                <c:pt idx="19">
                  <c:v>Gasóleo para uso marítimo</c:v>
                </c:pt>
                <c:pt idx="20">
                  <c:v>Diésel para uso marítimo</c:v>
                </c:pt>
                <c:pt idx="21">
                  <c:v>Otros Gasóleos</c:v>
                </c:pt>
                <c:pt idx="22">
                  <c:v>Biodiesel</c:v>
                </c:pt>
                <c:pt idx="23">
                  <c:v>Biodiesel Mezcla</c:v>
                </c:pt>
                <c:pt idx="24">
                  <c:v>Fuelóleo BIA</c:v>
                </c:pt>
                <c:pt idx="25">
                  <c:v>Fuelóleo de refineria</c:v>
                </c:pt>
                <c:pt idx="26">
                  <c:v>Otros combustibles para uso marítimo</c:v>
                </c:pt>
                <c:pt idx="27">
                  <c:v>Otros Fuelóleos</c:v>
                </c:pt>
                <c:pt idx="28">
                  <c:v>Aceites y bases lubricantes</c:v>
                </c:pt>
                <c:pt idx="29">
                  <c:v>Productos asfálticos</c:v>
                </c:pt>
                <c:pt idx="30">
                  <c:v>Disolventes</c:v>
                </c:pt>
                <c:pt idx="31">
                  <c:v>Parafinas</c:v>
                </c:pt>
                <c:pt idx="32">
                  <c:v>Coque de petróleo</c:v>
                </c:pt>
                <c:pt idx="33">
                  <c:v>Otros Productos</c:v>
                </c:pt>
              </c:strCache>
            </c:strRef>
          </c:cat>
          <c:val>
            <c:numRef>
              <c:f>'2026'!$AV$17:$AV$50</c:f>
              <c:numCache>
                <c:formatCode>0.0</c:formatCode>
                <c:ptCount val="34"/>
                <c:pt idx="0">
                  <c:v>183.96</c:v>
                </c:pt>
                <c:pt idx="1">
                  <c:v>0</c:v>
                </c:pt>
                <c:pt idx="2">
                  <c:v>97.680999999999997</c:v>
                </c:pt>
                <c:pt idx="3">
                  <c:v>0</c:v>
                </c:pt>
                <c:pt idx="4">
                  <c:v>71.284999999999997</c:v>
                </c:pt>
                <c:pt idx="5">
                  <c:v>0</c:v>
                </c:pt>
                <c:pt idx="6">
                  <c:v>78.712000000000003</c:v>
                </c:pt>
                <c:pt idx="7">
                  <c:v>3.8170000000000002</c:v>
                </c:pt>
                <c:pt idx="8">
                  <c:v>0</c:v>
                </c:pt>
                <c:pt idx="9">
                  <c:v>828.1</c:v>
                </c:pt>
                <c:pt idx="10">
                  <c:v>0</c:v>
                </c:pt>
                <c:pt idx="11">
                  <c:v>0</c:v>
                </c:pt>
                <c:pt idx="12">
                  <c:v>57.412999999999997</c:v>
                </c:pt>
                <c:pt idx="13">
                  <c:v>0</c:v>
                </c:pt>
                <c:pt idx="14">
                  <c:v>883.654</c:v>
                </c:pt>
                <c:pt idx="15">
                  <c:v>0</c:v>
                </c:pt>
                <c:pt idx="16">
                  <c:v>272.70400000000001</c:v>
                </c:pt>
                <c:pt idx="17">
                  <c:v>4.282</c:v>
                </c:pt>
                <c:pt idx="18">
                  <c:v>1.8640000000000001</c:v>
                </c:pt>
                <c:pt idx="19">
                  <c:v>75.231999999999999</c:v>
                </c:pt>
                <c:pt idx="20">
                  <c:v>0</c:v>
                </c:pt>
                <c:pt idx="21">
                  <c:v>1697.3580000000002</c:v>
                </c:pt>
                <c:pt idx="22">
                  <c:v>44.658999999999999</c:v>
                </c:pt>
                <c:pt idx="23">
                  <c:v>0</c:v>
                </c:pt>
                <c:pt idx="24">
                  <c:v>0</c:v>
                </c:pt>
                <c:pt idx="25">
                  <c:v>8.5999999999999993E-2</c:v>
                </c:pt>
                <c:pt idx="26">
                  <c:v>0</c:v>
                </c:pt>
                <c:pt idx="27">
                  <c:v>209.661</c:v>
                </c:pt>
                <c:pt idx="28">
                  <c:v>19.468</c:v>
                </c:pt>
                <c:pt idx="29">
                  <c:v>166.62</c:v>
                </c:pt>
                <c:pt idx="30">
                  <c:v>10.268000000000001</c:v>
                </c:pt>
                <c:pt idx="31">
                  <c:v>5.2619999999999996</c:v>
                </c:pt>
                <c:pt idx="32">
                  <c:v>235.03299999999999</c:v>
                </c:pt>
                <c:pt idx="33">
                  <c:v>163.01299999999998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DF-4DFD-AD85-6DF7C60D18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30337864"/>
        <c:axId val="430337536"/>
      </c:barChart>
      <c:valAx>
        <c:axId val="430337536"/>
        <c:scaling>
          <c:orientation val="minMax"/>
          <c:max val="2000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864"/>
        <c:crosses val="autoZero"/>
        <c:crossBetween val="between"/>
      </c:valAx>
      <c:catAx>
        <c:axId val="430337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Gases derivados del refino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044496512429677E-2"/>
          <c:y val="0.16329335759261288"/>
          <c:w val="0.87497128952882108"/>
          <c:h val="0.62350962688456313"/>
        </c:manualLayout>
      </c:layout>
      <c:lineChart>
        <c:grouping val="standard"/>
        <c:varyColors val="0"/>
        <c:ser>
          <c:idx val="0"/>
          <c:order val="0"/>
          <c:tx>
            <c:strRef>
              <c:f>'2024'!$A$18</c:f>
              <c:strCache>
                <c:ptCount val="1"/>
                <c:pt idx="0">
                  <c:v>Butano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179-441E-9537-95CEB45EB80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179-441E-9537-95CEB45EB80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179-441E-9537-95CEB45EB80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179-441E-9537-95CEB45EB80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4179-441E-9537-95CEB45EB80A}"/>
              </c:ext>
            </c:extLst>
          </c:dPt>
          <c:dLbls>
            <c:dLbl>
              <c:idx val="2"/>
              <c:layout>
                <c:manualLayout>
                  <c:x val="0"/>
                  <c:y val="4.5307450292910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79-441E-9537-95CEB45EB80A}"/>
                </c:ext>
              </c:extLst>
            </c:dLbl>
            <c:dLbl>
              <c:idx val="6"/>
              <c:layout>
                <c:manualLayout>
                  <c:x val="-1.9329385558187646E-2"/>
                  <c:y val="-4.53074502929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79-441E-9537-95CEB45EB8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clip" horzOverflow="clip"/>
              <a:lstStyle/>
              <a:p>
                <a:pPr>
                  <a:defRPr>
                    <a:ln>
                      <a:noFill/>
                    </a:ln>
                    <a:solidFill>
                      <a:schemeClr val="tx1"/>
                    </a:solidFill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'2024'!$B$18:$M$18</c:f>
              <c:numCache>
                <c:formatCode>#,##0</c:formatCode>
                <c:ptCount val="12"/>
                <c:pt idx="0">
                  <c:v>108.21899999999999</c:v>
                </c:pt>
                <c:pt idx="1">
                  <c:v>98.212999999999994</c:v>
                </c:pt>
                <c:pt idx="2">
                  <c:v>102.102</c:v>
                </c:pt>
                <c:pt idx="3">
                  <c:v>82.632000000000005</c:v>
                </c:pt>
                <c:pt idx="4">
                  <c:v>86.841999999999999</c:v>
                </c:pt>
                <c:pt idx="5">
                  <c:v>74.088999999999999</c:v>
                </c:pt>
                <c:pt idx="6">
                  <c:v>93.162000000000006</c:v>
                </c:pt>
                <c:pt idx="7">
                  <c:v>83.454999999999998</c:v>
                </c:pt>
                <c:pt idx="8">
                  <c:v>83.688000000000002</c:v>
                </c:pt>
                <c:pt idx="9">
                  <c:v>88.281000000000006</c:v>
                </c:pt>
                <c:pt idx="10">
                  <c:v>98.222999999999999</c:v>
                </c:pt>
                <c:pt idx="11">
                  <c:v>115.131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79-441E-9537-95CEB45EB80A}"/>
            </c:ext>
          </c:extLst>
        </c:ser>
        <c:ser>
          <c:idx val="1"/>
          <c:order val="1"/>
          <c:tx>
            <c:strRef>
              <c:f>'2024'!$A$19</c:f>
              <c:strCache>
                <c:ptCount val="1"/>
                <c:pt idx="0">
                  <c:v>Propano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'2024'!$B$19:$M$19</c:f>
              <c:numCache>
                <c:formatCode>#,##0</c:formatCode>
                <c:ptCount val="12"/>
                <c:pt idx="0">
                  <c:v>25.813999999999993</c:v>
                </c:pt>
                <c:pt idx="1">
                  <c:v>15.995000000000005</c:v>
                </c:pt>
                <c:pt idx="2">
                  <c:v>2.8889999999999958</c:v>
                </c:pt>
                <c:pt idx="3">
                  <c:v>8.0939999999999941</c:v>
                </c:pt>
                <c:pt idx="4">
                  <c:v>0</c:v>
                </c:pt>
                <c:pt idx="5">
                  <c:v>0.72100000000000364</c:v>
                </c:pt>
                <c:pt idx="6">
                  <c:v>18.920999999999992</c:v>
                </c:pt>
                <c:pt idx="7">
                  <c:v>1.4039999999999964</c:v>
                </c:pt>
                <c:pt idx="8">
                  <c:v>0</c:v>
                </c:pt>
                <c:pt idx="9">
                  <c:v>26.23899999999999</c:v>
                </c:pt>
                <c:pt idx="10">
                  <c:v>13.198999999999998</c:v>
                </c:pt>
                <c:pt idx="11">
                  <c:v>25.479000000000013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179-441E-9537-95CEB45EB80A}"/>
            </c:ext>
          </c:extLst>
        </c:ser>
        <c:ser>
          <c:idx val="2"/>
          <c:order val="2"/>
          <c:tx>
            <c:strRef>
              <c:f>'2024'!$A$17</c:f>
              <c:strCache>
                <c:ptCount val="1"/>
                <c:pt idx="0">
                  <c:v>Etano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'2024'!$B$17:$M$17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179-441E-9537-95CEB45EB80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0335568"/>
        <c:axId val="430339176"/>
      </c:lineChart>
      <c:valAx>
        <c:axId val="43033917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5568"/>
        <c:crosses val="autoZero"/>
        <c:crossBetween val="between"/>
      </c:valAx>
      <c:dateAx>
        <c:axId val="4303355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917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1271931056992105"/>
          <c:y val="0.93320806190997896"/>
          <c:w val="0.6953456552892836"/>
          <c:h val="5.350698384117191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Calibri" panose="020F0502020204030204" pitchFamily="34" charset="0"/>
                <a:cs typeface="Calibri" panose="020F0502020204030204" pitchFamily="34" charset="0"/>
              </a:rPr>
              <a:t>Producción Bruta - Gas Refineria (kt)</a:t>
            </a:r>
          </a:p>
        </c:rich>
      </c:tx>
      <c:layout>
        <c:manualLayout>
          <c:xMode val="edge"/>
          <c:yMode val="edge"/>
          <c:x val="0.18324678593978219"/>
          <c:y val="4.1793347800730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'2026'!$A$16</c:f>
              <c:strCache>
                <c:ptCount val="1"/>
                <c:pt idx="0">
                  <c:v>Gas Refinería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</c:numCache>
            </c:numRef>
          </c:cat>
          <c:val>
            <c:numRef>
              <c:f>'2026'!$B$16:$M$16</c:f>
              <c:numCache>
                <c:formatCode>#,##0</c:formatCode>
                <c:ptCount val="12"/>
                <c:pt idx="0">
                  <c:v>158.989</c:v>
                </c:pt>
                <c:pt idx="1">
                  <c:v>131.47499999999999</c:v>
                </c:pt>
                <c:pt idx="2">
                  <c:v>166.81700000000001</c:v>
                </c:pt>
                <c:pt idx="3">
                  <c:v>176.018</c:v>
                </c:pt>
                <c:pt idx="4">
                  <c:v>183.96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56-4F3B-9C47-11F7BEB34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032240"/>
        <c:axId val="581032896"/>
      </c:lineChart>
      <c:dateAx>
        <c:axId val="5810322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896"/>
        <c:crosses val="autoZero"/>
        <c:auto val="1"/>
        <c:lblOffset val="100"/>
        <c:baseTimeUnit val="months"/>
      </c:dateAx>
      <c:valAx>
        <c:axId val="58103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  <a:ea typeface="+mn-ea"/>
                <a:cs typeface="+mn-cs"/>
              </a:rPr>
              <a:t>PRODUCCION BRUTA DE REFINERIA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'2026'!$A$15</c:f>
              <c:strCache>
                <c:ptCount val="1"/>
                <c:pt idx="0">
                  <c:v>PRODUCCION BRUTA DE REFINERIA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690-4D98-A910-542DA632303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</c:numCache>
            </c:numRef>
          </c:cat>
          <c:val>
            <c:numRef>
              <c:f>'2026'!$B$15:$M$15</c:f>
              <c:numCache>
                <c:formatCode>#,##0</c:formatCode>
                <c:ptCount val="12"/>
                <c:pt idx="0">
                  <c:v>4969.24</c:v>
                </c:pt>
                <c:pt idx="1">
                  <c:v>4212.451</c:v>
                </c:pt>
                <c:pt idx="2">
                  <c:v>5331.3</c:v>
                </c:pt>
                <c:pt idx="3">
                  <c:v>5321.7169999999996</c:v>
                </c:pt>
                <c:pt idx="4">
                  <c:v>5110.1320000000005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90-4D98-A910-542DA63230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NACIONAL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Evolución_Anual!$B$2:$N$2</c:f>
              <c:numCache>
                <c:formatCode>0.00</c:formatCode>
                <c:ptCount val="13"/>
                <c:pt idx="0" formatCode="#,##0">
                  <c:v>368.34000000000003</c:v>
                </c:pt>
                <c:pt idx="1">
                  <c:v>305.411</c:v>
                </c:pt>
                <c:pt idx="2">
                  <c:v>232.244</c:v>
                </c:pt>
                <c:pt idx="3" formatCode="#,##0">
                  <c:v>140.89499999999998</c:v>
                </c:pt>
                <c:pt idx="4" formatCode="#,##0">
                  <c:v>120.10500000000002</c:v>
                </c:pt>
                <c:pt idx="5" formatCode="#,##0">
                  <c:v>86.990999999999985</c:v>
                </c:pt>
                <c:pt idx="6" formatCode="#,##0">
                  <c:v>40.245000000000005</c:v>
                </c:pt>
                <c:pt idx="7" formatCode="#,##0">
                  <c:v>27.536000000000001</c:v>
                </c:pt>
                <c:pt idx="8" formatCode="#,##0">
                  <c:v>5.8159999999999998</c:v>
                </c:pt>
                <c:pt idx="9" formatCode="#,##0">
                  <c:v>0.91199999999999992</c:v>
                </c:pt>
                <c:pt idx="10" formatCode="0">
                  <c:v>0.67200000000000004</c:v>
                </c:pt>
                <c:pt idx="11" formatCode="0">
                  <c:v>0.59899999999999998</c:v>
                </c:pt>
                <c:pt idx="12" formatCode="0">
                  <c:v>1.2979999999999998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A-4F67-8371-AEB70D99A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522112"/>
        <c:axId val="431526376"/>
      </c:areaChart>
      <c:valAx>
        <c:axId val="43152637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2112"/>
        <c:crosses val="autoZero"/>
        <c:crossBetween val="midCat"/>
      </c:valAx>
      <c:catAx>
        <c:axId val="43152211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637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IMPORTACIONES DE CRUDO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Evolución_Anual!$B$3:$N$3</c:f>
              <c:numCache>
                <c:formatCode>0.00</c:formatCode>
                <c:ptCount val="13"/>
                <c:pt idx="0" formatCode="#,##0">
                  <c:v>57871</c:v>
                </c:pt>
                <c:pt idx="1">
                  <c:v>59054</c:v>
                </c:pt>
                <c:pt idx="2">
                  <c:v>64726</c:v>
                </c:pt>
                <c:pt idx="3" formatCode="#,##0">
                  <c:v>64171</c:v>
                </c:pt>
                <c:pt idx="4" formatCode="#,##0">
                  <c:v>65958</c:v>
                </c:pt>
                <c:pt idx="5" formatCode="#,##0">
                  <c:v>67586</c:v>
                </c:pt>
                <c:pt idx="6" formatCode="#,##0">
                  <c:v>66319</c:v>
                </c:pt>
                <c:pt idx="7" formatCode="#,##0">
                  <c:v>54852</c:v>
                </c:pt>
                <c:pt idx="8" formatCode="#,##0">
                  <c:v>56171.787000000004</c:v>
                </c:pt>
                <c:pt idx="9" formatCode="#,##0">
                  <c:v>63595.529000000002</c:v>
                </c:pt>
                <c:pt idx="10" formatCode="0">
                  <c:v>61558.654000000002</c:v>
                </c:pt>
                <c:pt idx="11" formatCode="0">
                  <c:v>64587.901999999995</c:v>
                </c:pt>
                <c:pt idx="12" formatCode="0">
                  <c:v>61422.786000000007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61-4D1C-90E7-9E3D9CB14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525064"/>
        <c:axId val="431523752"/>
      </c:areaChart>
      <c:valAx>
        <c:axId val="431523752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5064"/>
        <c:crosses val="autoZero"/>
        <c:crossBetween val="midCat"/>
      </c:valAx>
      <c:catAx>
        <c:axId val="43152506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3752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Queroseno de aviación (kt)</a:t>
            </a:r>
          </a:p>
        </c:rich>
      </c:tx>
      <c:layout>
        <c:manualLayout>
          <c:xMode val="edge"/>
          <c:yMode val="edge"/>
          <c:x val="0.14063127862406891"/>
          <c:y val="2.9649563174775614E-2"/>
        </c:manualLayout>
      </c:layout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Evolución_Anual!$A$25</c:f>
              <c:strCache>
                <c:ptCount val="1"/>
                <c:pt idx="0">
                  <c:v>Queroseno aviac. Jet A1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Evolución_Anual!$B$25:$N$25</c:f>
              <c:numCache>
                <c:formatCode>0.00</c:formatCode>
                <c:ptCount val="13"/>
                <c:pt idx="0" formatCode="#,##0">
                  <c:v>148.95000000000002</c:v>
                </c:pt>
                <c:pt idx="1">
                  <c:v>197.20900000000003</c:v>
                </c:pt>
                <c:pt idx="2">
                  <c:v>225.935</c:v>
                </c:pt>
                <c:pt idx="3" formatCode="#,##0">
                  <c:v>213.608</c:v>
                </c:pt>
                <c:pt idx="4" formatCode="#,##0">
                  <c:v>188.614</c:v>
                </c:pt>
                <c:pt idx="5" formatCode="#,##0">
                  <c:v>380.85499999999996</c:v>
                </c:pt>
                <c:pt idx="6" formatCode="#,##0">
                  <c:v>454.21</c:v>
                </c:pt>
                <c:pt idx="7" formatCode="#,##0">
                  <c:v>155.31899999999996</c:v>
                </c:pt>
                <c:pt idx="8" formatCode="#,##0">
                  <c:v>315.61900000000003</c:v>
                </c:pt>
                <c:pt idx="9" formatCode="#,##0">
                  <c:v>427.49299999999994</c:v>
                </c:pt>
                <c:pt idx="10" formatCode="0">
                  <c:v>398.375</c:v>
                </c:pt>
                <c:pt idx="11" formatCode="0">
                  <c:v>535.59599999999989</c:v>
                </c:pt>
                <c:pt idx="12" formatCode="0">
                  <c:v>485.91200000000003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E-4204-84E0-ED129C712E56}"/>
            </c:ext>
          </c:extLst>
        </c:ser>
        <c:ser>
          <c:idx val="1"/>
          <c:order val="1"/>
          <c:tx>
            <c:strRef>
              <c:f>Evolución_Anual!$A$26</c:f>
              <c:strCache>
                <c:ptCount val="1"/>
                <c:pt idx="0">
                  <c:v>Queroseno aviac. Jet A2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Evolución_Anual!$B$26:$N$26</c:f>
              <c:numCache>
                <c:formatCode>0.00</c:formatCode>
                <c:ptCount val="13"/>
                <c:pt idx="0" formatCode="#,##0">
                  <c:v>2.2000000000000002E-2</c:v>
                </c:pt>
                <c:pt idx="1">
                  <c:v>3.0000000000000002E-2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E-4204-84E0-ED129C712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195080"/>
        <c:axId val="432185568"/>
      </c:lineChart>
      <c:valAx>
        <c:axId val="43218556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5080"/>
        <c:crosses val="autoZero"/>
        <c:crossBetween val="between"/>
      </c:valAx>
      <c:catAx>
        <c:axId val="43219508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8556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Otros Querosenos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Evolución_Anual!$A$27</c:f>
              <c:strCache>
                <c:ptCount val="1"/>
                <c:pt idx="0">
                  <c:v>Otros Querosenos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Evolución_Anual!$B$27:$N$27</c:f>
              <c:numCache>
                <c:formatCode>0.00</c:formatCode>
                <c:ptCount val="13"/>
                <c:pt idx="0" formatCode="#,##0">
                  <c:v>8477.628999999999</c:v>
                </c:pt>
                <c:pt idx="1">
                  <c:v>8678.8389999999999</c:v>
                </c:pt>
                <c:pt idx="2">
                  <c:v>9285.3820000000014</c:v>
                </c:pt>
                <c:pt idx="3" formatCode="#,##0">
                  <c:v>8672.6139999999996</c:v>
                </c:pt>
                <c:pt idx="4" formatCode="#,##0">
                  <c:v>9300.3379999999997</c:v>
                </c:pt>
                <c:pt idx="5" formatCode="#,##0">
                  <c:v>10038.733</c:v>
                </c:pt>
                <c:pt idx="6" formatCode="#,##0">
                  <c:v>9816.6459999999988</c:v>
                </c:pt>
                <c:pt idx="7" formatCode="#,##0">
                  <c:v>7838.5070000000005</c:v>
                </c:pt>
                <c:pt idx="8" formatCode="#,##0">
                  <c:v>8378.6840000000011</c:v>
                </c:pt>
                <c:pt idx="9" formatCode="#,##0">
                  <c:v>9153.7040000000015</c:v>
                </c:pt>
                <c:pt idx="10" formatCode="0">
                  <c:v>9387.0400000000009</c:v>
                </c:pt>
                <c:pt idx="11" formatCode="0">
                  <c:v>9841.1860000000015</c:v>
                </c:pt>
                <c:pt idx="12" formatCode="0">
                  <c:v>9377.8389999999999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42-4397-9CF7-C728C30C9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186880"/>
        <c:axId val="432186224"/>
      </c:areaChart>
      <c:valAx>
        <c:axId val="43218622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86880"/>
        <c:crosses val="autoZero"/>
        <c:crossBetween val="midCat"/>
      </c:valAx>
      <c:catAx>
        <c:axId val="43218688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8622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 Refinería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</c:spPr>
          <c:invertIfNegative val="0"/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Evolución_Anual!$B$13:$N$13</c:f>
              <c:numCache>
                <c:formatCode>0.00</c:formatCode>
                <c:ptCount val="13"/>
                <c:pt idx="0" formatCode="#,##0">
                  <c:v>1879.5739999999998</c:v>
                </c:pt>
                <c:pt idx="1">
                  <c:v>1955.3679999999999</c:v>
                </c:pt>
                <c:pt idx="2">
                  <c:v>2363.9790000000003</c:v>
                </c:pt>
                <c:pt idx="3" formatCode="#,##0">
                  <c:v>2365.8740000000003</c:v>
                </c:pt>
                <c:pt idx="4" formatCode="#,##0">
                  <c:v>2346.299</c:v>
                </c:pt>
                <c:pt idx="5" formatCode="#,##0">
                  <c:v>2236.3780000000002</c:v>
                </c:pt>
                <c:pt idx="6" formatCode="#,##0">
                  <c:v>2113.3359999999998</c:v>
                </c:pt>
                <c:pt idx="7" formatCode="#,##0">
                  <c:v>1907.335</c:v>
                </c:pt>
                <c:pt idx="8" formatCode="#,##0">
                  <c:v>1952.643</c:v>
                </c:pt>
                <c:pt idx="9" formatCode="#,##0">
                  <c:v>2704.739</c:v>
                </c:pt>
                <c:pt idx="10" formatCode="0">
                  <c:v>2094.491</c:v>
                </c:pt>
                <c:pt idx="11" formatCode="0">
                  <c:v>2051.183</c:v>
                </c:pt>
                <c:pt idx="12" formatCode="0">
                  <c:v>2139.5040000000004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3-4400-BAFF-DF114EA84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1695200"/>
        <c:axId val="431696184"/>
      </c:barChart>
      <c:valAx>
        <c:axId val="4316961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5200"/>
        <c:crosses val="autoZero"/>
        <c:crossBetween val="between"/>
      </c:valAx>
      <c:catAx>
        <c:axId val="4316952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61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 (kt)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Evolución_Anual!$A$14</c:f>
              <c:strCache>
                <c:ptCount val="1"/>
                <c:pt idx="0">
                  <c:v>Etano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Evolución_Anual!$B$14:$N$14</c:f>
              <c:numCache>
                <c:formatCode>0.00</c:formatCode>
                <c:ptCount val="13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6-4D1A-BA9F-4177E1791E30}"/>
            </c:ext>
          </c:extLst>
        </c:ser>
        <c:ser>
          <c:idx val="1"/>
          <c:order val="1"/>
          <c:tx>
            <c:strRef>
              <c:f>Evolución_Anual!$A$15</c:f>
              <c:strCache>
                <c:ptCount val="1"/>
                <c:pt idx="0">
                  <c:v>Butano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Evolución_Anual!$B$15:$N$15</c:f>
              <c:numCache>
                <c:formatCode>0.00</c:formatCode>
                <c:ptCount val="13"/>
                <c:pt idx="0" formatCode="#,##0">
                  <c:v>1144.5999999999999</c:v>
                </c:pt>
                <c:pt idx="1">
                  <c:v>1112.5830000000001</c:v>
                </c:pt>
                <c:pt idx="2">
                  <c:v>1173.1079999999999</c:v>
                </c:pt>
                <c:pt idx="3" formatCode="#,##0">
                  <c:v>1178.07</c:v>
                </c:pt>
                <c:pt idx="4" formatCode="#,##0">
                  <c:v>1152.7330000000002</c:v>
                </c:pt>
                <c:pt idx="5" formatCode="#,##0">
                  <c:v>1103.134</c:v>
                </c:pt>
                <c:pt idx="6" formatCode="#,##0">
                  <c:v>958.995</c:v>
                </c:pt>
                <c:pt idx="7" formatCode="#,##0">
                  <c:v>854.30399999999997</c:v>
                </c:pt>
                <c:pt idx="8" formatCode="#,##0">
                  <c:v>1071.2329999999999</c:v>
                </c:pt>
                <c:pt idx="9" formatCode="#,##0">
                  <c:v>1100.6819999999998</c:v>
                </c:pt>
                <c:pt idx="10" formatCode="0">
                  <c:v>1055.7279999999998</c:v>
                </c:pt>
                <c:pt idx="11" formatCode="0">
                  <c:v>1114.037</c:v>
                </c:pt>
                <c:pt idx="12" formatCode="0">
                  <c:v>1078.8699999999999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6-4D1A-BA9F-4177E1791E30}"/>
            </c:ext>
          </c:extLst>
        </c:ser>
        <c:ser>
          <c:idx val="2"/>
          <c:order val="2"/>
          <c:tx>
            <c:strRef>
              <c:f>Evolución_Anual!$A$16</c:f>
              <c:strCache>
                <c:ptCount val="1"/>
                <c:pt idx="0">
                  <c:v>Propano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Evolución_Anual!$B$16:$N$16</c:f>
              <c:numCache>
                <c:formatCode>0.00</c:formatCode>
                <c:ptCount val="13"/>
                <c:pt idx="0" formatCode="#,##0">
                  <c:v>567.88700000000006</c:v>
                </c:pt>
                <c:pt idx="1">
                  <c:v>462.25600000000003</c:v>
                </c:pt>
                <c:pt idx="2">
                  <c:v>525.89199999999994</c:v>
                </c:pt>
                <c:pt idx="3" formatCode="#,##0">
                  <c:v>362.93</c:v>
                </c:pt>
                <c:pt idx="4" formatCode="#,##0">
                  <c:v>248.26700000000002</c:v>
                </c:pt>
                <c:pt idx="5" formatCode="#,##0">
                  <c:v>207.77599999999998</c:v>
                </c:pt>
                <c:pt idx="6" formatCode="#,##0">
                  <c:v>208.005</c:v>
                </c:pt>
                <c:pt idx="7" formatCode="#,##0">
                  <c:v>65.696000000000026</c:v>
                </c:pt>
                <c:pt idx="8" formatCode="#,##0">
                  <c:v>168.73700000000002</c:v>
                </c:pt>
                <c:pt idx="9" formatCode="#,##0">
                  <c:v>34.631</c:v>
                </c:pt>
                <c:pt idx="10" formatCode="0">
                  <c:v>138.84900000000005</c:v>
                </c:pt>
                <c:pt idx="11" formatCode="0">
                  <c:v>138.755</c:v>
                </c:pt>
                <c:pt idx="12" formatCode="0">
                  <c:v>177.26800000000003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96-4D1A-BA9F-4177E1791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698480"/>
        <c:axId val="431698152"/>
      </c:lineChart>
      <c:valAx>
        <c:axId val="431698152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8480"/>
        <c:crosses val="autoZero"/>
        <c:crossBetween val="between"/>
      </c:valAx>
      <c:catAx>
        <c:axId val="43169848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8152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Otras Gasolinas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Evolución_Anual!$A$22</c:f>
              <c:strCache>
                <c:ptCount val="1"/>
                <c:pt idx="0">
                  <c:v>Otras Gasolinas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Evolución_Anual!$B$22:$N$22</c:f>
              <c:numCache>
                <c:formatCode>0.00</c:formatCode>
                <c:ptCount val="13"/>
                <c:pt idx="0" formatCode="#,##0">
                  <c:v>6124.0770000000002</c:v>
                </c:pt>
                <c:pt idx="1">
                  <c:v>5890.1620000000003</c:v>
                </c:pt>
                <c:pt idx="2">
                  <c:v>7961.8929999999991</c:v>
                </c:pt>
                <c:pt idx="3" formatCode="#,##0">
                  <c:v>8475.8809999999994</c:v>
                </c:pt>
                <c:pt idx="4" formatCode="#,##0">
                  <c:v>8150.8120000000008</c:v>
                </c:pt>
                <c:pt idx="5" formatCode="#,##0">
                  <c:v>7954.1570000000011</c:v>
                </c:pt>
                <c:pt idx="6" formatCode="#,##0">
                  <c:v>7914.9160000000002</c:v>
                </c:pt>
                <c:pt idx="7" formatCode="#,##0">
                  <c:v>6711.4719999999998</c:v>
                </c:pt>
                <c:pt idx="8" formatCode="#,##0">
                  <c:v>8425.6710000000003</c:v>
                </c:pt>
                <c:pt idx="9" formatCode="#,##0">
                  <c:v>8600.77</c:v>
                </c:pt>
                <c:pt idx="10" formatCode="0">
                  <c:v>8649.3249999999989</c:v>
                </c:pt>
                <c:pt idx="11" formatCode="0">
                  <c:v>8527.4339999999993</c:v>
                </c:pt>
                <c:pt idx="12" formatCode="0">
                  <c:v>8427.5649999999987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59-457E-A156-8CCB15BAC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523096"/>
        <c:axId val="431524408"/>
      </c:areaChart>
      <c:valAx>
        <c:axId val="43152440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3096"/>
        <c:crosses val="autoZero"/>
        <c:crossBetween val="midCat"/>
      </c:valAx>
      <c:catAx>
        <c:axId val="43152309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440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Evolución_Anual!$A$28</c:f>
              <c:strCache>
                <c:ptCount val="1"/>
                <c:pt idx="0">
                  <c:v>Gasóleo A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Evolución_Anual!$B$28:$N$28</c:f>
              <c:numCache>
                <c:formatCode>0.00</c:formatCode>
                <c:ptCount val="13"/>
                <c:pt idx="0" formatCode="#,##0">
                  <c:v>3.0000000000000001E-3</c:v>
                </c:pt>
                <c:pt idx="1">
                  <c:v>5.0000000000000001E-3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F-4783-9A2D-5E8482A7866B}"/>
            </c:ext>
          </c:extLst>
        </c:ser>
        <c:ser>
          <c:idx val="1"/>
          <c:order val="1"/>
          <c:tx>
            <c:strRef>
              <c:f>Evolución_Anual!$A$29</c:f>
              <c:strCache>
                <c:ptCount val="1"/>
                <c:pt idx="0">
                  <c:v>Gasóleo A 10 PPM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Evolución_Anual!$B$29:$N$29</c:f>
              <c:numCache>
                <c:formatCode>0.00</c:formatCode>
                <c:ptCount val="13"/>
                <c:pt idx="0" formatCode="#,##0">
                  <c:v>2436.9259999999999</c:v>
                </c:pt>
                <c:pt idx="1">
                  <c:v>2208.1949999999997</c:v>
                </c:pt>
                <c:pt idx="2">
                  <c:v>1983.4960000000001</c:v>
                </c:pt>
                <c:pt idx="3" formatCode="#,##0">
                  <c:v>2904.6060000000007</c:v>
                </c:pt>
                <c:pt idx="4" formatCode="#,##0">
                  <c:v>2956.1630000000005</c:v>
                </c:pt>
                <c:pt idx="5" formatCode="#,##0">
                  <c:v>3166.7429999999995</c:v>
                </c:pt>
                <c:pt idx="6" formatCode="#,##0">
                  <c:v>3181.0829999999996</c:v>
                </c:pt>
                <c:pt idx="7" formatCode="#,##0">
                  <c:v>3224.8609999999999</c:v>
                </c:pt>
                <c:pt idx="8" formatCode="#,##0">
                  <c:v>3061.7809999999999</c:v>
                </c:pt>
                <c:pt idx="9" formatCode="#,##0">
                  <c:v>2962.4490000000001</c:v>
                </c:pt>
                <c:pt idx="10" formatCode="0">
                  <c:v>2479.116</c:v>
                </c:pt>
                <c:pt idx="11" formatCode="0">
                  <c:v>2943.8580000000002</c:v>
                </c:pt>
                <c:pt idx="12" formatCode="0">
                  <c:v>3080.652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F-4783-9A2D-5E8482A7866B}"/>
            </c:ext>
          </c:extLst>
        </c:ser>
        <c:ser>
          <c:idx val="2"/>
          <c:order val="2"/>
          <c:tx>
            <c:strRef>
              <c:f>Evolución_Anual!$A$30</c:f>
              <c:strCache>
                <c:ptCount val="1"/>
                <c:pt idx="0">
                  <c:v>Gasóleo B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Evolución_Anual!$B$30:$N$30</c:f>
              <c:numCache>
                <c:formatCode>0.00</c:formatCode>
                <c:ptCount val="13"/>
                <c:pt idx="0" formatCode="#,##0">
                  <c:v>410.09999999999997</c:v>
                </c:pt>
                <c:pt idx="1">
                  <c:v>329.80400000000003</c:v>
                </c:pt>
                <c:pt idx="2">
                  <c:v>249.31899999999999</c:v>
                </c:pt>
                <c:pt idx="3" formatCode="#,##0">
                  <c:v>268.18200000000002</c:v>
                </c:pt>
                <c:pt idx="4" formatCode="#,##0">
                  <c:v>313.66699999999997</c:v>
                </c:pt>
                <c:pt idx="5" formatCode="#,##0">
                  <c:v>332.56800000000004</c:v>
                </c:pt>
                <c:pt idx="6" formatCode="#,##0">
                  <c:v>282.54199999999997</c:v>
                </c:pt>
                <c:pt idx="7" formatCode="#,##0">
                  <c:v>379.303</c:v>
                </c:pt>
                <c:pt idx="8" formatCode="#,##0">
                  <c:v>377.07799999999992</c:v>
                </c:pt>
                <c:pt idx="9" formatCode="#,##0">
                  <c:v>404.28500000000003</c:v>
                </c:pt>
                <c:pt idx="10" formatCode="0">
                  <c:v>270.95500000000004</c:v>
                </c:pt>
                <c:pt idx="11" formatCode="0">
                  <c:v>365.98799999999989</c:v>
                </c:pt>
                <c:pt idx="12" formatCode="0">
                  <c:v>339.786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9F-4783-9A2D-5E8482A7866B}"/>
            </c:ext>
          </c:extLst>
        </c:ser>
        <c:ser>
          <c:idx val="3"/>
          <c:order val="3"/>
          <c:tx>
            <c:strRef>
              <c:f>Evolución_Anual!$A$31</c:f>
              <c:strCache>
                <c:ptCount val="1"/>
                <c:pt idx="0">
                  <c:v>Gasóleo C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Evolución_Anual!$B$31:$N$31</c:f>
              <c:numCache>
                <c:formatCode>0.00</c:formatCode>
                <c:ptCount val="13"/>
                <c:pt idx="0" formatCode="#,##0">
                  <c:v>24.143999999999998</c:v>
                </c:pt>
                <c:pt idx="1">
                  <c:v>221.791</c:v>
                </c:pt>
                <c:pt idx="2">
                  <c:v>122.66900000000001</c:v>
                </c:pt>
                <c:pt idx="3" formatCode="#,##0">
                  <c:v>84.996999999999986</c:v>
                </c:pt>
                <c:pt idx="4" formatCode="#,##0">
                  <c:v>121.81199999999998</c:v>
                </c:pt>
                <c:pt idx="5" formatCode="#,##0">
                  <c:v>53.104000000000006</c:v>
                </c:pt>
                <c:pt idx="6" formatCode="#,##0">
                  <c:v>75.085000000000008</c:v>
                </c:pt>
                <c:pt idx="7" formatCode="#,##0">
                  <c:v>63.033000000000001</c:v>
                </c:pt>
                <c:pt idx="8" formatCode="#,##0">
                  <c:v>44.867999999999995</c:v>
                </c:pt>
                <c:pt idx="9" formatCode="#,##0">
                  <c:v>49.397000000000006</c:v>
                </c:pt>
                <c:pt idx="10" formatCode="0">
                  <c:v>92.393000000000001</c:v>
                </c:pt>
                <c:pt idx="11" formatCode="0">
                  <c:v>111.916</c:v>
                </c:pt>
                <c:pt idx="12" formatCode="0">
                  <c:v>107.73699999999999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9F-4783-9A2D-5E8482A7866B}"/>
            </c:ext>
          </c:extLst>
        </c:ser>
        <c:ser>
          <c:idx val="4"/>
          <c:order val="4"/>
          <c:tx>
            <c:strRef>
              <c:f>Evolución_Anual!$A$32</c:f>
              <c:strCache>
                <c:ptCount val="1"/>
                <c:pt idx="0">
                  <c:v>Gasóleo para uso marítimo</c:v>
                </c:pt>
              </c:strCache>
            </c:strRef>
          </c:tx>
          <c:spPr>
            <a:ln w="28575" cap="rnd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Evolución_Anual!$B$32:$N$32</c:f>
              <c:numCache>
                <c:formatCode>0.00</c:formatCode>
                <c:ptCount val="13"/>
                <c:pt idx="0" formatCode="#,##0">
                  <c:v>13.891999999999999</c:v>
                </c:pt>
                <c:pt idx="1">
                  <c:v>352.39799999999997</c:v>
                </c:pt>
                <c:pt idx="2">
                  <c:v>634.03700000000003</c:v>
                </c:pt>
                <c:pt idx="3" formatCode="#,##0">
                  <c:v>530.70800000000008</c:v>
                </c:pt>
                <c:pt idx="4" formatCode="#,##0">
                  <c:v>377.63900000000001</c:v>
                </c:pt>
                <c:pt idx="5" formatCode="#,##0">
                  <c:v>782.8570000000002</c:v>
                </c:pt>
                <c:pt idx="6" formatCode="#,##0">
                  <c:v>745.18700000000001</c:v>
                </c:pt>
                <c:pt idx="7" formatCode="#,##0">
                  <c:v>889.81500000000005</c:v>
                </c:pt>
                <c:pt idx="8" formatCode="#,##0">
                  <c:v>898.79899999999998</c:v>
                </c:pt>
                <c:pt idx="9" formatCode="#,##0">
                  <c:v>894.15199999999982</c:v>
                </c:pt>
                <c:pt idx="10" formatCode="0">
                  <c:v>664.36899999999991</c:v>
                </c:pt>
                <c:pt idx="11" formatCode="0">
                  <c:v>661.39700000000005</c:v>
                </c:pt>
                <c:pt idx="12" formatCode="0">
                  <c:v>915.2349999999999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9F-4783-9A2D-5E8482A7866B}"/>
            </c:ext>
          </c:extLst>
        </c:ser>
        <c:ser>
          <c:idx val="5"/>
          <c:order val="5"/>
          <c:tx>
            <c:strRef>
              <c:f>Evolución_Anual!$A$33</c:f>
              <c:strCache>
                <c:ptCount val="1"/>
                <c:pt idx="0">
                  <c:v>Diésel para uso marítimo</c:v>
                </c:pt>
              </c:strCache>
            </c:strRef>
          </c:tx>
          <c:spPr>
            <a:ln w="28575" cap="rnd">
              <a:solidFill>
                <a:srgbClr val="70AD47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Evolución_Anual!$B$33:$N$33</c:f>
              <c:numCache>
                <c:formatCode>0.00</c:formatCode>
                <c:ptCount val="13"/>
                <c:pt idx="0" formatCode="#,##0">
                  <c:v>0.30299999999999999</c:v>
                </c:pt>
                <c:pt idx="1">
                  <c:v>0.17100000000000001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9F-4783-9A2D-5E8482A78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194752"/>
        <c:axId val="432192456"/>
      </c:lineChart>
      <c:valAx>
        <c:axId val="43219245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4752"/>
        <c:crosses val="autoZero"/>
        <c:crossBetween val="between"/>
      </c:valAx>
      <c:catAx>
        <c:axId val="43219475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245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Gasolinas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'2024'!$A$20</c:f>
              <c:strCache>
                <c:ptCount val="1"/>
                <c:pt idx="0">
                  <c:v>Nafta</c:v>
                </c:pt>
              </c:strCache>
            </c:strRef>
          </c:tx>
          <c:spPr>
            <a:ln w="28575" cap="rnd" cmpd="sng" algn="ctr">
              <a:solidFill>
                <a:srgbClr val="EF771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'2024'!$B$20:$M$20</c:f>
              <c:numCache>
                <c:formatCode>#,##0</c:formatCode>
                <c:ptCount val="12"/>
                <c:pt idx="0">
                  <c:v>151.98500000000001</c:v>
                </c:pt>
                <c:pt idx="1">
                  <c:v>150.405</c:v>
                </c:pt>
                <c:pt idx="2">
                  <c:v>125.714</c:v>
                </c:pt>
                <c:pt idx="3">
                  <c:v>152.62799999999999</c:v>
                </c:pt>
                <c:pt idx="4">
                  <c:v>162.30500000000001</c:v>
                </c:pt>
                <c:pt idx="5">
                  <c:v>137.31100000000001</c:v>
                </c:pt>
                <c:pt idx="6">
                  <c:v>142.62</c:v>
                </c:pt>
                <c:pt idx="7">
                  <c:v>157.625</c:v>
                </c:pt>
                <c:pt idx="8">
                  <c:v>132.96299999999999</c:v>
                </c:pt>
                <c:pt idx="9">
                  <c:v>138.797</c:v>
                </c:pt>
                <c:pt idx="10">
                  <c:v>111.91200000000001</c:v>
                </c:pt>
                <c:pt idx="11">
                  <c:v>164.97399999999999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09-418C-B9B7-45BB1177A3FA}"/>
            </c:ext>
          </c:extLst>
        </c:ser>
        <c:ser>
          <c:idx val="1"/>
          <c:order val="1"/>
          <c:tx>
            <c:strRef>
              <c:f>'2024'!$A$21</c:f>
              <c:strCache>
                <c:ptCount val="1"/>
                <c:pt idx="0">
                  <c:v>Gasolina 97 I.O.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'2024'!$B$21:$M$21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09-418C-B9B7-45BB1177A3FA}"/>
            </c:ext>
          </c:extLst>
        </c:ser>
        <c:ser>
          <c:idx val="2"/>
          <c:order val="2"/>
          <c:tx>
            <c:strRef>
              <c:f>'2024'!$A$22</c:f>
              <c:strCache>
                <c:ptCount val="1"/>
                <c:pt idx="0">
                  <c:v>Gasolina 95 I.O.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'2024'!$B$22:$M$22</c:f>
              <c:numCache>
                <c:formatCode>#,##0</c:formatCode>
                <c:ptCount val="12"/>
                <c:pt idx="0">
                  <c:v>104.45099999999999</c:v>
                </c:pt>
                <c:pt idx="1">
                  <c:v>100.797</c:v>
                </c:pt>
                <c:pt idx="2">
                  <c:v>107.002</c:v>
                </c:pt>
                <c:pt idx="3">
                  <c:v>102.251</c:v>
                </c:pt>
                <c:pt idx="4">
                  <c:v>104.72499999999999</c:v>
                </c:pt>
                <c:pt idx="5">
                  <c:v>95.748999999999995</c:v>
                </c:pt>
                <c:pt idx="6">
                  <c:v>79.078999999999994</c:v>
                </c:pt>
                <c:pt idx="7">
                  <c:v>65.63</c:v>
                </c:pt>
                <c:pt idx="8">
                  <c:v>90.228999999999999</c:v>
                </c:pt>
                <c:pt idx="9">
                  <c:v>87.45</c:v>
                </c:pt>
                <c:pt idx="10">
                  <c:v>103.256</c:v>
                </c:pt>
                <c:pt idx="11">
                  <c:v>97.415000000000006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09-418C-B9B7-45BB1177A3FA}"/>
            </c:ext>
          </c:extLst>
        </c:ser>
        <c:ser>
          <c:idx val="3"/>
          <c:order val="3"/>
          <c:tx>
            <c:strRef>
              <c:f>'2024'!$A$23</c:f>
              <c:strCache>
                <c:ptCount val="1"/>
                <c:pt idx="0">
                  <c:v>Gasolina 98 I.O.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'2024'!$B$23:$M$23</c:f>
              <c:numCache>
                <c:formatCode>#,##0</c:formatCode>
                <c:ptCount val="12"/>
                <c:pt idx="0">
                  <c:v>4.3689999999999998</c:v>
                </c:pt>
                <c:pt idx="1">
                  <c:v>10.430999999999999</c:v>
                </c:pt>
                <c:pt idx="2">
                  <c:v>6.8049999999999997</c:v>
                </c:pt>
                <c:pt idx="3">
                  <c:v>8.7070000000000007</c:v>
                </c:pt>
                <c:pt idx="4">
                  <c:v>13.742000000000001</c:v>
                </c:pt>
                <c:pt idx="5">
                  <c:v>10.093999999999999</c:v>
                </c:pt>
                <c:pt idx="6">
                  <c:v>7.5359999999999996</c:v>
                </c:pt>
                <c:pt idx="7">
                  <c:v>4.6150000000000002</c:v>
                </c:pt>
                <c:pt idx="8">
                  <c:v>12.417</c:v>
                </c:pt>
                <c:pt idx="9">
                  <c:v>6.4210000000000003</c:v>
                </c:pt>
                <c:pt idx="10">
                  <c:v>4.7949999999999999</c:v>
                </c:pt>
                <c:pt idx="11">
                  <c:v>5.5869999999999997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09-418C-B9B7-45BB1177A3FA}"/>
            </c:ext>
          </c:extLst>
        </c:ser>
        <c:ser>
          <c:idx val="4"/>
          <c:order val="4"/>
          <c:tx>
            <c:strRef>
              <c:f>'2024'!$A$24</c:f>
              <c:strCache>
                <c:ptCount val="1"/>
                <c:pt idx="0">
                  <c:v>Gasolina de Aviación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'2024'!$B$24:$M$24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09-418C-B9B7-45BB1177A3FA}"/>
            </c:ext>
          </c:extLst>
        </c:ser>
        <c:ser>
          <c:idx val="5"/>
          <c:order val="5"/>
          <c:tx>
            <c:strRef>
              <c:f>'2024'!$A$25</c:f>
              <c:strCache>
                <c:ptCount val="1"/>
                <c:pt idx="0">
                  <c:v>Otras Gasolinas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'2024'!$B$25:$M$25</c:f>
              <c:numCache>
                <c:formatCode>#,##0</c:formatCode>
                <c:ptCount val="12"/>
                <c:pt idx="0">
                  <c:v>746.77500000000009</c:v>
                </c:pt>
                <c:pt idx="1">
                  <c:v>593.98899999999992</c:v>
                </c:pt>
                <c:pt idx="2">
                  <c:v>650.19499999999994</c:v>
                </c:pt>
                <c:pt idx="3">
                  <c:v>724.36799999999994</c:v>
                </c:pt>
                <c:pt idx="4">
                  <c:v>757.63400000000001</c:v>
                </c:pt>
                <c:pt idx="5">
                  <c:v>648.99199999999996</c:v>
                </c:pt>
                <c:pt idx="6">
                  <c:v>799.53599999999994</c:v>
                </c:pt>
                <c:pt idx="7">
                  <c:v>795.476</c:v>
                </c:pt>
                <c:pt idx="8">
                  <c:v>722.02499999999998</c:v>
                </c:pt>
                <c:pt idx="9">
                  <c:v>670.45699999999999</c:v>
                </c:pt>
                <c:pt idx="10">
                  <c:v>674.23</c:v>
                </c:pt>
                <c:pt idx="11">
                  <c:v>743.75700000000006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09-418C-B9B7-45BB1177A3FA}"/>
            </c:ext>
          </c:extLst>
        </c:ser>
        <c:ser>
          <c:idx val="6"/>
          <c:order val="6"/>
          <c:tx>
            <c:strRef>
              <c:f>'2024'!$A$27</c:f>
              <c:strCache>
                <c:ptCount val="1"/>
                <c:pt idx="0">
                  <c:v>Gasolinas Mezcla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'2024'!$B$27:$H$27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A09-418C-B9B7-45BB1177A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096472"/>
        <c:axId val="431096800"/>
      </c:lineChart>
      <c:valAx>
        <c:axId val="43109680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472"/>
        <c:crosses val="autoZero"/>
        <c:crossBetween val="between"/>
      </c:valAx>
      <c:dateAx>
        <c:axId val="4310964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80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Otros Gasóleos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Evolución_Anual!$A$34</c:f>
              <c:strCache>
                <c:ptCount val="1"/>
                <c:pt idx="0">
                  <c:v>Otros Gasóleos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Evolución_Anual!$B$34:$N$34</c:f>
              <c:numCache>
                <c:formatCode>0.00</c:formatCode>
                <c:ptCount val="13"/>
                <c:pt idx="0" formatCode="#,##0">
                  <c:v>23759.561000000002</c:v>
                </c:pt>
                <c:pt idx="1">
                  <c:v>23998.255999999994</c:v>
                </c:pt>
                <c:pt idx="2">
                  <c:v>24477.329000000005</c:v>
                </c:pt>
                <c:pt idx="3" formatCode="#,##0">
                  <c:v>22853.851999999999</c:v>
                </c:pt>
                <c:pt idx="4" formatCode="#,##0">
                  <c:v>23356.296000000002</c:v>
                </c:pt>
                <c:pt idx="5" formatCode="#,##0">
                  <c:v>22827.504000000001</c:v>
                </c:pt>
                <c:pt idx="6" formatCode="#,##0">
                  <c:v>22851.345999999998</c:v>
                </c:pt>
                <c:pt idx="7" formatCode="#,##0">
                  <c:v>19692.742000000002</c:v>
                </c:pt>
                <c:pt idx="8" formatCode="#,##0">
                  <c:v>19803.856</c:v>
                </c:pt>
                <c:pt idx="9" formatCode="#,##0">
                  <c:v>21713.006999999998</c:v>
                </c:pt>
                <c:pt idx="10" formatCode="0">
                  <c:v>22082.314000000002</c:v>
                </c:pt>
                <c:pt idx="11" formatCode="0">
                  <c:v>21056.342000000001</c:v>
                </c:pt>
                <c:pt idx="12" formatCode="0">
                  <c:v>20511.314000000002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3-4041-8E80-2532A1EE0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194424"/>
        <c:axId val="432193440"/>
      </c:areaChart>
      <c:valAx>
        <c:axId val="432193440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4424"/>
        <c:crosses val="autoZero"/>
        <c:crossBetween val="midCat"/>
      </c:valAx>
      <c:catAx>
        <c:axId val="43219442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344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Fuelóleos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Evolución_Anual!$A$37</c:f>
              <c:strCache>
                <c:ptCount val="1"/>
                <c:pt idx="0">
                  <c:v>Fuelóleo BIA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Evolución_Anual!$B$37:$N$37</c:f>
              <c:numCache>
                <c:formatCode>0.00</c:formatCode>
                <c:ptCount val="13"/>
                <c:pt idx="0" formatCode="#,##0">
                  <c:v>97.96</c:v>
                </c:pt>
                <c:pt idx="1">
                  <c:v>43.962000000000003</c:v>
                </c:pt>
                <c:pt idx="2">
                  <c:v>0</c:v>
                </c:pt>
                <c:pt idx="3" formatCode="#,##0">
                  <c:v>1.0999999999999999E-2</c:v>
                </c:pt>
                <c:pt idx="4" formatCode="#,##0">
                  <c:v>2.1000000000000001E-2</c:v>
                </c:pt>
                <c:pt idx="5" formatCode="#,##0">
                  <c:v>1.9E-2</c:v>
                </c:pt>
                <c:pt idx="6" formatCode="#,##0">
                  <c:v>3.6999999999999998E-2</c:v>
                </c:pt>
                <c:pt idx="7" formatCode="#,##0">
                  <c:v>0</c:v>
                </c:pt>
                <c:pt idx="8" formatCode="#,##0">
                  <c:v>1.4999999999999999E-2</c:v>
                </c:pt>
                <c:pt idx="9" formatCode="#,##0">
                  <c:v>0</c:v>
                </c:pt>
                <c:pt idx="10" formatCode="0">
                  <c:v>1E-3</c:v>
                </c:pt>
                <c:pt idx="11" formatCode="0">
                  <c:v>2E-3</c:v>
                </c:pt>
                <c:pt idx="12" formatCode="0">
                  <c:v>2.1000000000000001E-2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4-49AB-AA0A-3FB87776D48B}"/>
            </c:ext>
          </c:extLst>
        </c:ser>
        <c:ser>
          <c:idx val="1"/>
          <c:order val="1"/>
          <c:tx>
            <c:strRef>
              <c:f>Evolución_Anual!$A$38</c:f>
              <c:strCache>
                <c:ptCount val="1"/>
                <c:pt idx="0">
                  <c:v>Fuelóleo de refineria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Evolución_Anual!$B$38:$N$38</c:f>
              <c:numCache>
                <c:formatCode>0.00</c:formatCode>
                <c:ptCount val="13"/>
                <c:pt idx="0" formatCode="#,##0">
                  <c:v>10.284000000000001</c:v>
                </c:pt>
                <c:pt idx="1">
                  <c:v>50.414000000000001</c:v>
                </c:pt>
                <c:pt idx="2">
                  <c:v>36.086000000000006</c:v>
                </c:pt>
                <c:pt idx="3" formatCode="#,##0">
                  <c:v>6.875</c:v>
                </c:pt>
                <c:pt idx="4" formatCode="#,##0">
                  <c:v>39.305</c:v>
                </c:pt>
                <c:pt idx="5" formatCode="#,##0">
                  <c:v>70.665000000000006</c:v>
                </c:pt>
                <c:pt idx="6" formatCode="#,##0">
                  <c:v>23.421000000000003</c:v>
                </c:pt>
                <c:pt idx="7" formatCode="#,##0">
                  <c:v>75.243999999999986</c:v>
                </c:pt>
                <c:pt idx="8" formatCode="#,##0">
                  <c:v>74.864000000000004</c:v>
                </c:pt>
                <c:pt idx="9" formatCode="#,##0">
                  <c:v>0.97200000000000031</c:v>
                </c:pt>
                <c:pt idx="10" formatCode="0">
                  <c:v>5.0659999999999998</c:v>
                </c:pt>
                <c:pt idx="11" formatCode="0">
                  <c:v>5.8289999999999997</c:v>
                </c:pt>
                <c:pt idx="12" formatCode="0">
                  <c:v>0.58799999999999997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4-49AB-AA0A-3FB87776D48B}"/>
            </c:ext>
          </c:extLst>
        </c:ser>
        <c:ser>
          <c:idx val="2"/>
          <c:order val="2"/>
          <c:tx>
            <c:strRef>
              <c:f>Evolución_Anual!$A$39</c:f>
              <c:strCache>
                <c:ptCount val="1"/>
                <c:pt idx="0">
                  <c:v>Otros combustiibles para uso marítimo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Evolución_Anual!$B$39:$N$39</c:f>
              <c:numCache>
                <c:formatCode>0.00</c:formatCode>
                <c:ptCount val="13"/>
                <c:pt idx="0" formatCode="#,##0">
                  <c:v>262.62299999999999</c:v>
                </c:pt>
                <c:pt idx="1">
                  <c:v>156.21599999999998</c:v>
                </c:pt>
                <c:pt idx="2">
                  <c:v>4.4409999999999998</c:v>
                </c:pt>
                <c:pt idx="3" formatCode="#,##0">
                  <c:v>5.1980000000000004</c:v>
                </c:pt>
                <c:pt idx="4" formatCode="#,##0">
                  <c:v>1.8049999999999997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7.0000000000000001E-3</c:v>
                </c:pt>
                <c:pt idx="10" formatCode="0">
                  <c:v>3.0000000000000001E-3</c:v>
                </c:pt>
                <c:pt idx="11" formatCode="0">
                  <c:v>0</c:v>
                </c:pt>
                <c:pt idx="12" formatCode="0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E4-49AB-AA0A-3FB87776D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184912"/>
        <c:axId val="432188848"/>
      </c:lineChart>
      <c:valAx>
        <c:axId val="43218884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84912"/>
        <c:crosses val="autoZero"/>
        <c:crossBetween val="between"/>
      </c:valAx>
      <c:catAx>
        <c:axId val="4321849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8884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Otros Fuelóleos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Evolución_Anual!$A$40</c:f>
              <c:strCache>
                <c:ptCount val="1"/>
                <c:pt idx="0">
                  <c:v>Otros Fuelóleos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Evolución_Anual!$B$40:$N$40</c:f>
              <c:numCache>
                <c:formatCode>0.00</c:formatCode>
                <c:ptCount val="13"/>
                <c:pt idx="0" formatCode="#,##0">
                  <c:v>4925.3550000000005</c:v>
                </c:pt>
                <c:pt idx="1">
                  <c:v>4231.1399999999994</c:v>
                </c:pt>
                <c:pt idx="2">
                  <c:v>3943.2400000000002</c:v>
                </c:pt>
                <c:pt idx="3" formatCode="#,##0">
                  <c:v>5097.1839999999993</c:v>
                </c:pt>
                <c:pt idx="4" formatCode="#,##0">
                  <c:v>5491.2370000000001</c:v>
                </c:pt>
                <c:pt idx="5" formatCode="#,##0">
                  <c:v>5929.7330000000002</c:v>
                </c:pt>
                <c:pt idx="6" formatCode="#,##0">
                  <c:v>5032.235999999999</c:v>
                </c:pt>
                <c:pt idx="7" formatCode="#,##0">
                  <c:v>2367.299</c:v>
                </c:pt>
                <c:pt idx="8" formatCode="#,##0">
                  <c:v>2569.741</c:v>
                </c:pt>
                <c:pt idx="9" formatCode="#,##0">
                  <c:v>3641.92</c:v>
                </c:pt>
                <c:pt idx="10" formatCode="0">
                  <c:v>3941.1609999999996</c:v>
                </c:pt>
                <c:pt idx="11" formatCode="0">
                  <c:v>4651.2349999999988</c:v>
                </c:pt>
                <c:pt idx="12" formatCode="0">
                  <c:v>3790.4009999999998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01-4BFB-8C1B-46653B930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193112"/>
        <c:axId val="432191800"/>
      </c:areaChart>
      <c:valAx>
        <c:axId val="432191800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3112"/>
        <c:crosses val="autoZero"/>
        <c:crossBetween val="midCat"/>
      </c:valAx>
      <c:catAx>
        <c:axId val="43219311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180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Coque de petróleo (kt)</a:t>
            </a:r>
          </a:p>
        </c:rich>
      </c:tx>
      <c:layout>
        <c:manualLayout>
          <c:xMode val="edge"/>
          <c:yMode val="edge"/>
          <c:x val="0.19841674379174207"/>
          <c:y val="3.7563339942718661E-2"/>
        </c:manualLayout>
      </c:layout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Evolución_Anual!$A$45</c:f>
              <c:strCache>
                <c:ptCount val="1"/>
                <c:pt idx="0">
                  <c:v>Coque de petróleo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</c:spPr>
          <c:invertIfNegative val="0"/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Evolución_Anual!$B$45:$N$45</c:f>
              <c:numCache>
                <c:formatCode>0.00</c:formatCode>
                <c:ptCount val="13"/>
                <c:pt idx="0" formatCode="#,##0">
                  <c:v>3436.2899999999995</c:v>
                </c:pt>
                <c:pt idx="1">
                  <c:v>3743.6349999999998</c:v>
                </c:pt>
                <c:pt idx="2">
                  <c:v>3659.797</c:v>
                </c:pt>
                <c:pt idx="3" formatCode="#,##0">
                  <c:v>3781.5</c:v>
                </c:pt>
                <c:pt idx="4" formatCode="#,##0">
                  <c:v>3823.3130000000001</c:v>
                </c:pt>
                <c:pt idx="5" formatCode="#,##0">
                  <c:v>3802.1469999999995</c:v>
                </c:pt>
                <c:pt idx="6" formatCode="#,##0">
                  <c:v>3602.9690000000001</c:v>
                </c:pt>
                <c:pt idx="7" formatCode="#,##0">
                  <c:v>3528.8910000000001</c:v>
                </c:pt>
                <c:pt idx="8" formatCode="#,##0">
                  <c:v>2887.1469999999995</c:v>
                </c:pt>
                <c:pt idx="9" formatCode="#,##0">
                  <c:v>3434.0340000000001</c:v>
                </c:pt>
                <c:pt idx="10" formatCode="0">
                  <c:v>3457.4449999999997</c:v>
                </c:pt>
                <c:pt idx="11" formatCode="0">
                  <c:v>3505.3779999999997</c:v>
                </c:pt>
                <c:pt idx="12" formatCode="0">
                  <c:v>3355.8310000000001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A-4C9B-BC12-2E40024D7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2200656"/>
        <c:axId val="432199016"/>
      </c:barChart>
      <c:valAx>
        <c:axId val="43219901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200656"/>
        <c:crosses val="autoZero"/>
        <c:crossBetween val="between"/>
      </c:valAx>
      <c:catAx>
        <c:axId val="4322006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901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otros procesados (kt)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Evolución_Anual!$A$41</c:f>
              <c:strCache>
                <c:ptCount val="1"/>
                <c:pt idx="0">
                  <c:v>Aceites y bases lubricantes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Evolución_Anual!$B$41:$N$41</c:f>
              <c:numCache>
                <c:formatCode>0.00</c:formatCode>
                <c:ptCount val="13"/>
                <c:pt idx="0" formatCode="#,##0">
                  <c:v>190.64699999999996</c:v>
                </c:pt>
                <c:pt idx="1">
                  <c:v>336.96300000000008</c:v>
                </c:pt>
                <c:pt idx="2">
                  <c:v>396.09100000000001</c:v>
                </c:pt>
                <c:pt idx="3" formatCode="#,##0">
                  <c:v>408.81400000000002</c:v>
                </c:pt>
                <c:pt idx="4" formatCode="#,##0">
                  <c:v>399.22699999999998</c:v>
                </c:pt>
                <c:pt idx="5" formatCode="#,##0">
                  <c:v>414.57400000000001</c:v>
                </c:pt>
                <c:pt idx="6" formatCode="#,##0">
                  <c:v>354.22500000000002</c:v>
                </c:pt>
                <c:pt idx="7" formatCode="#,##0">
                  <c:v>316.589</c:v>
                </c:pt>
                <c:pt idx="8" formatCode="#,##0">
                  <c:v>307.51099999999997</c:v>
                </c:pt>
                <c:pt idx="9" formatCode="#,##0">
                  <c:v>341.11200000000002</c:v>
                </c:pt>
                <c:pt idx="10" formatCode="0">
                  <c:v>310.36</c:v>
                </c:pt>
                <c:pt idx="11" formatCode="0">
                  <c:v>280.16399999999999</c:v>
                </c:pt>
                <c:pt idx="12" formatCode="0">
                  <c:v>286.56900000000002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FC-4EF2-B9B0-1206F57FEED8}"/>
            </c:ext>
          </c:extLst>
        </c:ser>
        <c:ser>
          <c:idx val="1"/>
          <c:order val="1"/>
          <c:tx>
            <c:strRef>
              <c:f>Evolución_Anual!$A$42</c:f>
              <c:strCache>
                <c:ptCount val="1"/>
                <c:pt idx="0">
                  <c:v>Productos asfálticos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Evolución_Anual!$B$42:$N$42</c:f>
              <c:numCache>
                <c:formatCode>0.00</c:formatCode>
                <c:ptCount val="13"/>
                <c:pt idx="0" formatCode="#,##0">
                  <c:v>2073.8830000000003</c:v>
                </c:pt>
                <c:pt idx="1">
                  <c:v>1917.2549999999997</c:v>
                </c:pt>
                <c:pt idx="2">
                  <c:v>2491.1219999999998</c:v>
                </c:pt>
                <c:pt idx="3" formatCode="#,##0">
                  <c:v>2471.4650000000001</c:v>
                </c:pt>
                <c:pt idx="4" formatCode="#,##0">
                  <c:v>2482.5739999999996</c:v>
                </c:pt>
                <c:pt idx="5" formatCode="#,##0">
                  <c:v>2629.5830000000001</c:v>
                </c:pt>
                <c:pt idx="6" formatCode="#,##0">
                  <c:v>2372.59</c:v>
                </c:pt>
                <c:pt idx="7" formatCode="#,##0">
                  <c:v>1907.655</c:v>
                </c:pt>
                <c:pt idx="8" formatCode="#,##0">
                  <c:v>2191.232</c:v>
                </c:pt>
                <c:pt idx="9" formatCode="#,##0">
                  <c:v>1715.5740000000001</c:v>
                </c:pt>
                <c:pt idx="10" formatCode="0">
                  <c:v>1822.5049999999999</c:v>
                </c:pt>
                <c:pt idx="11" formatCode="0">
                  <c:v>1869.1480000000001</c:v>
                </c:pt>
                <c:pt idx="12" formatCode="0">
                  <c:v>1661.4799999999998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FC-4EF2-B9B0-1206F57FEED8}"/>
            </c:ext>
          </c:extLst>
        </c:ser>
        <c:ser>
          <c:idx val="2"/>
          <c:order val="2"/>
          <c:tx>
            <c:strRef>
              <c:f>Evolución_Anual!$A$43</c:f>
              <c:strCache>
                <c:ptCount val="1"/>
                <c:pt idx="0">
                  <c:v>Disolventes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Evolución_Anual!$B$43:$N$43</c:f>
              <c:numCache>
                <c:formatCode>0.00</c:formatCode>
                <c:ptCount val="13"/>
                <c:pt idx="0" formatCode="#,##0">
                  <c:v>180.18800000000002</c:v>
                </c:pt>
                <c:pt idx="1">
                  <c:v>203.84299999999999</c:v>
                </c:pt>
                <c:pt idx="2">
                  <c:v>257.37900000000002</c:v>
                </c:pt>
                <c:pt idx="3" formatCode="#,##0">
                  <c:v>265.14699999999999</c:v>
                </c:pt>
                <c:pt idx="4" formatCode="#,##0">
                  <c:v>255.05499999999998</c:v>
                </c:pt>
                <c:pt idx="5" formatCode="#,##0">
                  <c:v>243.16300000000001</c:v>
                </c:pt>
                <c:pt idx="6" formatCode="#,##0">
                  <c:v>201.55599999999998</c:v>
                </c:pt>
                <c:pt idx="7" formatCode="#,##0">
                  <c:v>129.38900000000001</c:v>
                </c:pt>
                <c:pt idx="8" formatCode="#,##0">
                  <c:v>143.95799999999997</c:v>
                </c:pt>
                <c:pt idx="9" formatCode="#,##0">
                  <c:v>120.07800000000002</c:v>
                </c:pt>
                <c:pt idx="10" formatCode="0">
                  <c:v>122.27900000000001</c:v>
                </c:pt>
                <c:pt idx="11" formatCode="0">
                  <c:v>111.245</c:v>
                </c:pt>
                <c:pt idx="12" formatCode="0">
                  <c:v>117.032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FC-4EF2-B9B0-1206F57FEED8}"/>
            </c:ext>
          </c:extLst>
        </c:ser>
        <c:ser>
          <c:idx val="3"/>
          <c:order val="3"/>
          <c:tx>
            <c:strRef>
              <c:f>Evolución_Anual!$A$44</c:f>
              <c:strCache>
                <c:ptCount val="1"/>
                <c:pt idx="0">
                  <c:v>Parafinas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Evolución_Anual!$B$44:$N$44</c:f>
              <c:numCache>
                <c:formatCode>0.00</c:formatCode>
                <c:ptCount val="13"/>
                <c:pt idx="0" formatCode="#,##0">
                  <c:v>36.271000000000001</c:v>
                </c:pt>
                <c:pt idx="1">
                  <c:v>55.038999999999994</c:v>
                </c:pt>
                <c:pt idx="2">
                  <c:v>84.269000000000005</c:v>
                </c:pt>
                <c:pt idx="3" formatCode="#,##0">
                  <c:v>94.957999999999984</c:v>
                </c:pt>
                <c:pt idx="4" formatCode="#,##0">
                  <c:v>88.320999999999984</c:v>
                </c:pt>
                <c:pt idx="5" formatCode="#,##0">
                  <c:v>89.766000000000005</c:v>
                </c:pt>
                <c:pt idx="6" formatCode="#,##0">
                  <c:v>77.551000000000002</c:v>
                </c:pt>
                <c:pt idx="7" formatCode="#,##0">
                  <c:v>72.461000000000013</c:v>
                </c:pt>
                <c:pt idx="8" formatCode="#,##0">
                  <c:v>76.009999999999991</c:v>
                </c:pt>
                <c:pt idx="9" formatCode="#,##0">
                  <c:v>78.824000000000012</c:v>
                </c:pt>
                <c:pt idx="10" formatCode="0">
                  <c:v>68.566999999999993</c:v>
                </c:pt>
                <c:pt idx="11" formatCode="0">
                  <c:v>69.851000000000013</c:v>
                </c:pt>
                <c:pt idx="12" formatCode="0">
                  <c:v>69.989999999999995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FC-4EF2-B9B0-1206F57FEED8}"/>
            </c:ext>
          </c:extLst>
        </c:ser>
        <c:ser>
          <c:idx val="4"/>
          <c:order val="4"/>
          <c:tx>
            <c:strRef>
              <c:f>Evolución_Anual!$A$46</c:f>
              <c:strCache>
                <c:ptCount val="1"/>
                <c:pt idx="0">
                  <c:v>Otros Productos</c:v>
                </c:pt>
              </c:strCache>
            </c:strRef>
          </c:tx>
          <c:spPr>
            <a:ln w="28575" cap="rnd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Evolución_Anual!$B$46:$N$46</c:f>
              <c:numCache>
                <c:formatCode>0.00</c:formatCode>
                <c:ptCount val="13"/>
                <c:pt idx="0" formatCode="0">
                  <c:v>2470.631000000004</c:v>
                </c:pt>
                <c:pt idx="1">
                  <c:v>2455.3649999999948</c:v>
                </c:pt>
                <c:pt idx="2">
                  <c:v>2706.9480000000008</c:v>
                </c:pt>
                <c:pt idx="3" formatCode="#,##0">
                  <c:v>2574.7999999999961</c:v>
                </c:pt>
                <c:pt idx="4" formatCode="#,##0">
                  <c:v>2339.5239999999981</c:v>
                </c:pt>
                <c:pt idx="5" formatCode="#,##0">
                  <c:v>2320.1039999999994</c:v>
                </c:pt>
                <c:pt idx="6" formatCode="#,##0">
                  <c:v>2474.2789999999995</c:v>
                </c:pt>
                <c:pt idx="7" formatCode="#,##0">
                  <c:v>3081.5889999999995</c:v>
                </c:pt>
                <c:pt idx="8" formatCode="#,##0">
                  <c:v>2621.3369999999973</c:v>
                </c:pt>
                <c:pt idx="9" formatCode="#,##0">
                  <c:v>1662.1669999999949</c:v>
                </c:pt>
                <c:pt idx="10" formatCode="0">
                  <c:v>1605.8290000000018</c:v>
                </c:pt>
                <c:pt idx="11" formatCode="0">
                  <c:v>2282.1070000000004</c:v>
                </c:pt>
                <c:pt idx="12" formatCode="0">
                  <c:v>2544.3880000000004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FC-4EF2-B9B0-1206F57FE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200000"/>
        <c:axId val="432194096"/>
      </c:lineChart>
      <c:valAx>
        <c:axId val="43219409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200000"/>
        <c:crosses val="autoZero"/>
        <c:crossBetween val="between"/>
      </c:valAx>
      <c:catAx>
        <c:axId val="432200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409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Gasolinas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Evolución_Anual!$A$17</c:f>
              <c:strCache>
                <c:ptCount val="1"/>
                <c:pt idx="0">
                  <c:v>Nafta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Evolución_Anual!$B$17:$N$17</c:f>
              <c:numCache>
                <c:formatCode>0.00</c:formatCode>
                <c:ptCount val="13"/>
                <c:pt idx="0" formatCode="#,##0">
                  <c:v>345.08400000000006</c:v>
                </c:pt>
                <c:pt idx="1">
                  <c:v>303.50700000000001</c:v>
                </c:pt>
                <c:pt idx="2">
                  <c:v>1240</c:v>
                </c:pt>
                <c:pt idx="3" formatCode="#,##0">
                  <c:v>1194</c:v>
                </c:pt>
                <c:pt idx="4" formatCode="#,##0">
                  <c:v>1368</c:v>
                </c:pt>
                <c:pt idx="5" formatCode="#,##0">
                  <c:v>1756</c:v>
                </c:pt>
                <c:pt idx="6" formatCode="#,##0">
                  <c:v>1438</c:v>
                </c:pt>
                <c:pt idx="7" formatCode="#,##0">
                  <c:v>1309</c:v>
                </c:pt>
                <c:pt idx="8" formatCode="#,##0">
                  <c:v>1443.748</c:v>
                </c:pt>
                <c:pt idx="9" formatCode="#,##0">
                  <c:v>1678.6889999999999</c:v>
                </c:pt>
                <c:pt idx="10" formatCode="0">
                  <c:v>1641.7580000000003</c:v>
                </c:pt>
                <c:pt idx="11" formatCode="0">
                  <c:v>1729.239</c:v>
                </c:pt>
                <c:pt idx="12" formatCode="0">
                  <c:v>1501.35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E-470E-BEC1-E18F44285752}"/>
            </c:ext>
          </c:extLst>
        </c:ser>
        <c:ser>
          <c:idx val="1"/>
          <c:order val="1"/>
          <c:tx>
            <c:strRef>
              <c:f>Evolución_Anual!$A$18</c:f>
              <c:strCache>
                <c:ptCount val="1"/>
                <c:pt idx="0">
                  <c:v>Gasolina 97 I.O.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Evolución_Anual!$B$18:$N$18</c:f>
              <c:numCache>
                <c:formatCode>0.00</c:formatCode>
                <c:ptCount val="13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E-470E-BEC1-E18F44285752}"/>
            </c:ext>
          </c:extLst>
        </c:ser>
        <c:ser>
          <c:idx val="2"/>
          <c:order val="2"/>
          <c:tx>
            <c:strRef>
              <c:f>Evolución_Anual!$A$19</c:f>
              <c:strCache>
                <c:ptCount val="1"/>
                <c:pt idx="0">
                  <c:v>Gasolina 95 I.O.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Evolución_Anual!$B$19:$N$19</c:f>
              <c:numCache>
                <c:formatCode>0.00</c:formatCode>
                <c:ptCount val="13"/>
                <c:pt idx="0" formatCode="#,##0">
                  <c:v>1287.2289999999998</c:v>
                </c:pt>
                <c:pt idx="1">
                  <c:v>1309.3149999999998</c:v>
                </c:pt>
                <c:pt idx="2">
                  <c:v>1093.296</c:v>
                </c:pt>
                <c:pt idx="3" formatCode="#,##0">
                  <c:v>1019.001</c:v>
                </c:pt>
                <c:pt idx="4" formatCode="#,##0">
                  <c:v>878.40499999999986</c:v>
                </c:pt>
                <c:pt idx="5" formatCode="#,##0">
                  <c:v>1195.105</c:v>
                </c:pt>
                <c:pt idx="6" formatCode="#,##0">
                  <c:v>1095.317</c:v>
                </c:pt>
                <c:pt idx="7" formatCode="#,##0">
                  <c:v>1053.1750000000002</c:v>
                </c:pt>
                <c:pt idx="8" formatCode="#,##0">
                  <c:v>1186.8810000000001</c:v>
                </c:pt>
                <c:pt idx="9" formatCode="#,##0">
                  <c:v>1211.8000000000002</c:v>
                </c:pt>
                <c:pt idx="10" formatCode="0">
                  <c:v>945.81700000000001</c:v>
                </c:pt>
                <c:pt idx="11" formatCode="0">
                  <c:v>1138.0340000000001</c:v>
                </c:pt>
                <c:pt idx="12" formatCode="0">
                  <c:v>1098.3209999999999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7E-470E-BEC1-E18F44285752}"/>
            </c:ext>
          </c:extLst>
        </c:ser>
        <c:ser>
          <c:idx val="3"/>
          <c:order val="3"/>
          <c:tx>
            <c:strRef>
              <c:f>Evolución_Anual!$A$20</c:f>
              <c:strCache>
                <c:ptCount val="1"/>
                <c:pt idx="0">
                  <c:v>Gasolina 98 I.O.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Evolución_Anual!$B$20:$N$20</c:f>
              <c:numCache>
                <c:formatCode>0.00</c:formatCode>
                <c:ptCount val="13"/>
                <c:pt idx="0" formatCode="#,##0">
                  <c:v>59.605999999999995</c:v>
                </c:pt>
                <c:pt idx="1">
                  <c:v>75.36699999999999</c:v>
                </c:pt>
                <c:pt idx="2">
                  <c:v>50.234000000000002</c:v>
                </c:pt>
                <c:pt idx="3" formatCode="#,##0">
                  <c:v>60.134</c:v>
                </c:pt>
                <c:pt idx="4" formatCode="#,##0">
                  <c:v>71.317000000000007</c:v>
                </c:pt>
                <c:pt idx="5" formatCode="#,##0">
                  <c:v>61.750000000000007</c:v>
                </c:pt>
                <c:pt idx="6" formatCode="#,##0">
                  <c:v>77.353999999999999</c:v>
                </c:pt>
                <c:pt idx="7" formatCode="#,##0">
                  <c:v>58.756999999999998</c:v>
                </c:pt>
                <c:pt idx="8" formatCode="#,##0">
                  <c:v>55.305999999999997</c:v>
                </c:pt>
                <c:pt idx="9" formatCode="#,##0">
                  <c:v>66.042999999999992</c:v>
                </c:pt>
                <c:pt idx="10" formatCode="0">
                  <c:v>97.459000000000003</c:v>
                </c:pt>
                <c:pt idx="11" formatCode="0">
                  <c:v>95.51900000000002</c:v>
                </c:pt>
                <c:pt idx="12" formatCode="0">
                  <c:v>107.64299999999999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7E-470E-BEC1-E18F44285752}"/>
            </c:ext>
          </c:extLst>
        </c:ser>
        <c:ser>
          <c:idx val="4"/>
          <c:order val="4"/>
          <c:tx>
            <c:strRef>
              <c:f>Evolución_Anual!$A$21</c:f>
              <c:strCache>
                <c:ptCount val="1"/>
                <c:pt idx="0">
                  <c:v>Gasolina de Aviación</c:v>
                </c:pt>
              </c:strCache>
            </c:strRef>
          </c:tx>
          <c:spPr>
            <a:ln w="28575" cap="rnd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Evolución_Anual!$B$21:$N$21</c:f>
              <c:numCache>
                <c:formatCode>0.00</c:formatCode>
                <c:ptCount val="13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7E-470E-BEC1-E18F44285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699136"/>
        <c:axId val="431697168"/>
      </c:lineChart>
      <c:valAx>
        <c:axId val="43169716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9136"/>
        <c:crosses val="autoZero"/>
        <c:crossBetween val="between"/>
      </c:valAx>
      <c:catAx>
        <c:axId val="4316991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716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PROCESADO DE CRUDO (kt)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Evolución_Anual!$A$9</c:f>
              <c:strCache>
                <c:ptCount val="1"/>
                <c:pt idx="0">
                  <c:v>TOTAL PROCESADO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</c:spPr>
          <c:invertIfNegative val="0"/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Evolución_Anual!$B$9:$N$9</c:f>
              <c:numCache>
                <c:formatCode>0.00</c:formatCode>
                <c:ptCount val="13"/>
                <c:pt idx="0" formatCode="#,##0">
                  <c:v>61039.340000000004</c:v>
                </c:pt>
                <c:pt idx="1">
                  <c:v>61169.411</c:v>
                </c:pt>
                <c:pt idx="2">
                  <c:v>65663.244000000006</c:v>
                </c:pt>
                <c:pt idx="3" formatCode="#,##0">
                  <c:v>65695.89499999999</c:v>
                </c:pt>
                <c:pt idx="4" formatCode="#,##0">
                  <c:v>66825</c:v>
                </c:pt>
                <c:pt idx="5" formatCode="#,##0">
                  <c:v>68718</c:v>
                </c:pt>
                <c:pt idx="6" formatCode="#,##0">
                  <c:v>66555.244999999995</c:v>
                </c:pt>
                <c:pt idx="7" formatCode="#,##0">
                  <c:v>56614.535999999993</c:v>
                </c:pt>
                <c:pt idx="8" formatCode="#,##0">
                  <c:v>59047.308000000005</c:v>
                </c:pt>
                <c:pt idx="9" formatCode="#,##0">
                  <c:v>63792.228999999999</c:v>
                </c:pt>
                <c:pt idx="10" formatCode="0">
                  <c:v>62465.011999999995</c:v>
                </c:pt>
                <c:pt idx="11" formatCode="0">
                  <c:v>65014.002999999997</c:v>
                </c:pt>
                <c:pt idx="12" formatCode="0">
                  <c:v>62605.512999999992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00-4A61-88C4-708F22ED3955}"/>
            </c:ext>
          </c:extLst>
        </c:ser>
        <c:ser>
          <c:idx val="1"/>
          <c:order val="1"/>
          <c:tx>
            <c:strRef>
              <c:f>Evolución_Anual!$A$10</c:f>
              <c:strCache>
                <c:ptCount val="1"/>
                <c:pt idx="0">
                  <c:v>PROCESADO DE CRUDO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</c:spPr>
          <c:invertIfNegative val="0"/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Evolución_Anual!$B$10:$N$10</c:f>
              <c:numCache>
                <c:formatCode>0.00</c:formatCode>
                <c:ptCount val="13"/>
                <c:pt idx="0" formatCode="#,##0">
                  <c:v>58143</c:v>
                </c:pt>
                <c:pt idx="1">
                  <c:v>59022</c:v>
                </c:pt>
                <c:pt idx="2">
                  <c:v>65031</c:v>
                </c:pt>
                <c:pt idx="3" formatCode="#,##0">
                  <c:v>64988</c:v>
                </c:pt>
                <c:pt idx="4" formatCode="#,##0">
                  <c:v>66038</c:v>
                </c:pt>
                <c:pt idx="5" formatCode="#,##0">
                  <c:v>67894</c:v>
                </c:pt>
                <c:pt idx="6" formatCode="#,##0">
                  <c:v>65648</c:v>
                </c:pt>
                <c:pt idx="7" formatCode="#,##0">
                  <c:v>55153</c:v>
                </c:pt>
                <c:pt idx="8" formatCode="#,##0">
                  <c:v>56922.123999999996</c:v>
                </c:pt>
                <c:pt idx="9" formatCode="#,##0">
                  <c:v>63393.94999999999</c:v>
                </c:pt>
                <c:pt idx="10" formatCode="0">
                  <c:v>61885.819000000003</c:v>
                </c:pt>
                <c:pt idx="11" formatCode="0">
                  <c:v>64336.185999999994</c:v>
                </c:pt>
                <c:pt idx="12" formatCode="0">
                  <c:v>61443.969999999987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00-4A61-88C4-708F22ED3955}"/>
            </c:ext>
          </c:extLst>
        </c:ser>
        <c:ser>
          <c:idx val="2"/>
          <c:order val="2"/>
          <c:tx>
            <c:strRef>
              <c:f>Evolución_Anual!$A$11</c:f>
              <c:strCache>
                <c:ptCount val="1"/>
                <c:pt idx="0">
                  <c:v>PERDIDAS DE REFINO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</c:spPr>
          <c:invertIfNegative val="0"/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Evolución_Anual!$B$11:$N$11</c:f>
              <c:numCache>
                <c:formatCode>0.00</c:formatCode>
                <c:ptCount val="13"/>
                <c:pt idx="0" formatCode="#,##0">
                  <c:v>537.55000000000018</c:v>
                </c:pt>
                <c:pt idx="1">
                  <c:v>606.80799999999999</c:v>
                </c:pt>
                <c:pt idx="2">
                  <c:v>678.15200000000277</c:v>
                </c:pt>
                <c:pt idx="3" formatCode="#,##0">
                  <c:v>740.9360000000006</c:v>
                </c:pt>
                <c:pt idx="4" formatCode="#,##0">
                  <c:v>927.83299999999781</c:v>
                </c:pt>
                <c:pt idx="5" formatCode="#,##0">
                  <c:v>848.35799999999654</c:v>
                </c:pt>
                <c:pt idx="6" formatCode="#,##0">
                  <c:v>1042.3570000000036</c:v>
                </c:pt>
                <c:pt idx="7" formatCode="#,##0">
                  <c:v>807.31799999999839</c:v>
                </c:pt>
                <c:pt idx="8" formatCode="#,##0">
                  <c:v>870.51200000000154</c:v>
                </c:pt>
                <c:pt idx="9" formatCode="#,##0">
                  <c:v>1664.4920000000029</c:v>
                </c:pt>
                <c:pt idx="10" formatCode="0">
                  <c:v>991.699999999998</c:v>
                </c:pt>
                <c:pt idx="11" formatCode="0">
                  <c:v>1608.0269999999955</c:v>
                </c:pt>
                <c:pt idx="12" formatCode="0">
                  <c:v>1052.6549999999979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00-4A61-88C4-708F22ED3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1700448"/>
        <c:axId val="431320504"/>
      </c:barChart>
      <c:valAx>
        <c:axId val="43132050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700448"/>
        <c:crosses val="autoZero"/>
        <c:crossBetween val="between"/>
      </c:valAx>
      <c:catAx>
        <c:axId val="4317004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32050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DE REFINERÍA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ndard"/>
        <c:varyColors val="0"/>
        <c:ser>
          <c:idx val="0"/>
          <c:order val="0"/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Evolución_Anual!$B$12:$N$12</c:f>
              <c:numCache>
                <c:formatCode>0.00</c:formatCode>
                <c:ptCount val="13"/>
                <c:pt idx="0" formatCode="#,##0">
                  <c:v>60501.79</c:v>
                </c:pt>
                <c:pt idx="1">
                  <c:v>60562.602999999988</c:v>
                </c:pt>
                <c:pt idx="2">
                  <c:v>64983.195999999996</c:v>
                </c:pt>
                <c:pt idx="3" formatCode="#,##0">
                  <c:v>64955.064000000006</c:v>
                </c:pt>
                <c:pt idx="4" formatCode="#,##0">
                  <c:v>65897.167000000001</c:v>
                </c:pt>
                <c:pt idx="5" formatCode="#,##0">
                  <c:v>67869.641999999993</c:v>
                </c:pt>
                <c:pt idx="6" formatCode="#,##0">
                  <c:v>65512.642999999996</c:v>
                </c:pt>
                <c:pt idx="7" formatCode="#,##0">
                  <c:v>55806.682000000001</c:v>
                </c:pt>
                <c:pt idx="8" formatCode="#,##0">
                  <c:v>58176.796000000002</c:v>
                </c:pt>
                <c:pt idx="9" formatCode="#,##0">
                  <c:v>62127.737000000001</c:v>
                </c:pt>
                <c:pt idx="10" formatCode="0">
                  <c:v>61473.311999999991</c:v>
                </c:pt>
                <c:pt idx="11" formatCode="0">
                  <c:v>63405.976000000002</c:v>
                </c:pt>
                <c:pt idx="12" formatCode="0">
                  <c:v>61552.858000000007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28-42CB-9F11-9258EF79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694872"/>
        <c:axId val="431696840"/>
      </c:areaChart>
      <c:valAx>
        <c:axId val="431696840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694872"/>
        <c:crosses val="autoZero"/>
        <c:crossBetween val="midCat"/>
      </c:valAx>
      <c:catAx>
        <c:axId val="43169487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69684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'2026'!$AV$3</c:f>
          <c:strCache>
            <c:ptCount val="1"/>
            <c:pt idx="0">
              <c:v>MAYO 2026</c:v>
            </c:pt>
          </c:strCache>
        </c:strRef>
      </c:tx>
      <c:layout>
        <c:manualLayout>
          <c:xMode val="edge"/>
          <c:yMode val="edge"/>
          <c:x val="0.4151123953286085"/>
          <c:y val="2.933333157355341E-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40404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'2026'!$AU$6:$AU$8</c:f>
              <c:strCache>
                <c:ptCount val="3"/>
                <c:pt idx="0">
                  <c:v>IMPORTACIONES DE CRUDO</c:v>
                </c:pt>
                <c:pt idx="1">
                  <c:v>TOTAL PROCESADO</c:v>
                </c:pt>
                <c:pt idx="2">
                  <c:v>PRODUCCION BRUTA DE REFINERIA</c:v>
                </c:pt>
              </c:strCache>
            </c:strRef>
          </c:cat>
          <c:val>
            <c:numRef>
              <c:f>'2026'!$AV$6:$AV$8</c:f>
              <c:numCache>
                <c:formatCode>0.0</c:formatCode>
                <c:ptCount val="3"/>
                <c:pt idx="0">
                  <c:v>5182.4089999999997</c:v>
                </c:pt>
                <c:pt idx="1">
                  <c:v>5125.7539999999999</c:v>
                </c:pt>
                <c:pt idx="2">
                  <c:v>5110.1320000000005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3F-4A6D-8908-A288F82BD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3221368"/>
        <c:axId val="423226944"/>
      </c:barChart>
      <c:valAx>
        <c:axId val="42322694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1368"/>
        <c:crosses val="autoZero"/>
        <c:crossBetween val="between"/>
      </c:valAx>
      <c:catAx>
        <c:axId val="423221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'2026'!$AV$3</c:f>
          <c:strCache>
            <c:ptCount val="1"/>
            <c:pt idx="0">
              <c:v>MAYO 2026</c:v>
            </c:pt>
          </c:strCache>
        </c:strRef>
      </c:tx>
      <c:overlay val="0"/>
      <c:txPr>
        <a:bodyPr/>
        <a:lstStyle/>
        <a:p>
          <a:pPr marL="0" marR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n-US" sz="14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ED7D31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7C9-4766-97D6-48B08579E0D5}"/>
              </c:ext>
            </c:extLst>
          </c:dPt>
          <c:dLbls>
            <c:dLbl>
              <c:idx val="2"/>
              <c:layout>
                <c:manualLayout>
                  <c:x val="6.5366189666513516E-2"/>
                  <c:y val="7.06506367764457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4.9245924712892547E-2"/>
                      <c:h val="4.461278234960485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7C9-4766-97D6-48B08579E0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'2026'!$AU$11:$AU$15</c:f>
              <c:strCache>
                <c:ptCount val="5"/>
                <c:pt idx="0">
                  <c:v>IMPORTACIONES DE PROD. INTERMEDIOS Y MAT. AUXILIARES</c:v>
                </c:pt>
                <c:pt idx="1">
                  <c:v>VARIACION DE STOCKS DE CRUDOS (Ef-Ei)</c:v>
                </c:pt>
                <c:pt idx="2">
                  <c:v>APROVISIONAMIENTO DE PROD. INTERMEDIOS Y MAT. AUXILIARES</c:v>
                </c:pt>
                <c:pt idx="3">
                  <c:v>PRODUCTOS TRASPASADOS Y BACKFLOWS</c:v>
                </c:pt>
                <c:pt idx="4">
                  <c:v>CONSUMO DIRECTO DE CRUDO</c:v>
                </c:pt>
              </c:strCache>
            </c:strRef>
          </c:cat>
          <c:val>
            <c:numRef>
              <c:f>'2026'!$AV$11:$AV$15</c:f>
              <c:numCache>
                <c:formatCode>0.0</c:formatCode>
                <c:ptCount val="5"/>
                <c:pt idx="0">
                  <c:v>249.90700000000015</c:v>
                </c:pt>
                <c:pt idx="1">
                  <c:v>410.41699999999997</c:v>
                </c:pt>
                <c:pt idx="2">
                  <c:v>-7.4039999999999964</c:v>
                </c:pt>
                <c:pt idx="3">
                  <c:v>96.335000000000008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C9-4766-97D6-48B08579E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337208"/>
        <c:axId val="430334584"/>
      </c:barChart>
      <c:valAx>
        <c:axId val="4303345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208"/>
        <c:crosses val="autoZero"/>
        <c:crossBetween val="between"/>
      </c:valAx>
      <c:catAx>
        <c:axId val="430337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45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Querosenos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'2024'!$A$28</c:f>
              <c:strCache>
                <c:ptCount val="1"/>
                <c:pt idx="0">
                  <c:v>Queroseno aviac. Jet A1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'2024'!$B$28:$M$28</c:f>
              <c:numCache>
                <c:formatCode>#,##0</c:formatCode>
                <c:ptCount val="12"/>
                <c:pt idx="0">
                  <c:v>51.722999999999999</c:v>
                </c:pt>
                <c:pt idx="1">
                  <c:v>47.917000000000002</c:v>
                </c:pt>
                <c:pt idx="2">
                  <c:v>45.72</c:v>
                </c:pt>
                <c:pt idx="3">
                  <c:v>40.491</c:v>
                </c:pt>
                <c:pt idx="4">
                  <c:v>40.094000000000001</c:v>
                </c:pt>
                <c:pt idx="5">
                  <c:v>39.798999999999999</c:v>
                </c:pt>
                <c:pt idx="6">
                  <c:v>41.496000000000002</c:v>
                </c:pt>
                <c:pt idx="7">
                  <c:v>35.677</c:v>
                </c:pt>
                <c:pt idx="8">
                  <c:v>50.930999999999997</c:v>
                </c:pt>
                <c:pt idx="9">
                  <c:v>49.314999999999998</c:v>
                </c:pt>
                <c:pt idx="10">
                  <c:v>45.402000000000001</c:v>
                </c:pt>
                <c:pt idx="11">
                  <c:v>47.030999999999999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2-42A2-916D-71D1BABE954D}"/>
            </c:ext>
          </c:extLst>
        </c:ser>
        <c:ser>
          <c:idx val="1"/>
          <c:order val="1"/>
          <c:tx>
            <c:strRef>
              <c:f>'2024'!$A$29</c:f>
              <c:strCache>
                <c:ptCount val="1"/>
                <c:pt idx="0">
                  <c:v>Queroseno aviac. Jet A2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'2024'!$B$29:$M$29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2-42A2-916D-71D1BABE954D}"/>
            </c:ext>
          </c:extLst>
        </c:ser>
        <c:ser>
          <c:idx val="2"/>
          <c:order val="2"/>
          <c:tx>
            <c:strRef>
              <c:f>'2024'!$A$30</c:f>
              <c:strCache>
                <c:ptCount val="1"/>
                <c:pt idx="0">
                  <c:v>Otros Querosenos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'2024'!$B$30:$M$30</c:f>
              <c:numCache>
                <c:formatCode>#,##0</c:formatCode>
                <c:ptCount val="12"/>
                <c:pt idx="0">
                  <c:v>895.24099999999999</c:v>
                </c:pt>
                <c:pt idx="1">
                  <c:v>847.84</c:v>
                </c:pt>
                <c:pt idx="2">
                  <c:v>801.21</c:v>
                </c:pt>
                <c:pt idx="3">
                  <c:v>767.08299999999997</c:v>
                </c:pt>
                <c:pt idx="4">
                  <c:v>891.09799999999996</c:v>
                </c:pt>
                <c:pt idx="5">
                  <c:v>791.65700000000004</c:v>
                </c:pt>
                <c:pt idx="6">
                  <c:v>862.50699999999995</c:v>
                </c:pt>
                <c:pt idx="7">
                  <c:v>850.21199999999999</c:v>
                </c:pt>
                <c:pt idx="8">
                  <c:v>766.79899999999998</c:v>
                </c:pt>
                <c:pt idx="9">
                  <c:v>846.28200000000004</c:v>
                </c:pt>
                <c:pt idx="10">
                  <c:v>736.69100000000003</c:v>
                </c:pt>
                <c:pt idx="11">
                  <c:v>784.56600000000003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B2-42A2-916D-71D1BABE95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3128"/>
        <c:axId val="431324768"/>
      </c:lineChart>
      <c:valAx>
        <c:axId val="43132476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3128"/>
        <c:crosses val="autoZero"/>
        <c:crossBetween val="between"/>
      </c:valAx>
      <c:dateAx>
        <c:axId val="4313231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7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000" b="0" i="0" u="none" strike="noStrike" kern="1200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'2026'!$AV$3</c:f>
          <c:strCache>
            <c:ptCount val="1"/>
            <c:pt idx="0">
              <c:v>MAYO 2026</c:v>
            </c:pt>
          </c:strCache>
        </c:strRef>
      </c:tx>
      <c:layout>
        <c:manualLayout>
          <c:xMode val="edge"/>
          <c:yMode val="edge"/>
          <c:x val="0.61518858948305954"/>
          <c:y val="2.901333114019964E-2"/>
        </c:manualLayout>
      </c:layout>
      <c:overlay val="0"/>
      <c:txPr>
        <a:bodyPr/>
        <a:lstStyle/>
        <a:p>
          <a:pPr marL="0" marR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n-US" sz="14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'2026'!$AU$17:$AU$50</c:f>
              <c:strCache>
                <c:ptCount val="34"/>
                <c:pt idx="0">
                  <c:v>Gas Refinería</c:v>
                </c:pt>
                <c:pt idx="1">
                  <c:v>Etano</c:v>
                </c:pt>
                <c:pt idx="2">
                  <c:v>Butano</c:v>
                </c:pt>
                <c:pt idx="3">
                  <c:v>Propano</c:v>
                </c:pt>
                <c:pt idx="4">
                  <c:v>Nafta</c:v>
                </c:pt>
                <c:pt idx="5">
                  <c:v>Gasolina 97 I.O.</c:v>
                </c:pt>
                <c:pt idx="6">
                  <c:v>Gasolina 95 I.O.</c:v>
                </c:pt>
                <c:pt idx="7">
                  <c:v>Gasolina 98 I.O.</c:v>
                </c:pt>
                <c:pt idx="8">
                  <c:v>Gasolina de Aviación</c:v>
                </c:pt>
                <c:pt idx="9">
                  <c:v>Otras Gasolinas</c:v>
                </c:pt>
                <c:pt idx="10">
                  <c:v>Bioetanol</c:v>
                </c:pt>
                <c:pt idx="11">
                  <c:v>Gasolinas Mezcla</c:v>
                </c:pt>
                <c:pt idx="12">
                  <c:v>Queroseno aviac. Jet A1</c:v>
                </c:pt>
                <c:pt idx="13">
                  <c:v>Queroseno aviac. Jet A2</c:v>
                </c:pt>
                <c:pt idx="14">
                  <c:v>Otros Querosenos</c:v>
                </c:pt>
                <c:pt idx="15">
                  <c:v>Gasóleo A</c:v>
                </c:pt>
                <c:pt idx="16">
                  <c:v>Gasóleo A 10 PPM</c:v>
                </c:pt>
                <c:pt idx="17">
                  <c:v>Gasóleo B</c:v>
                </c:pt>
                <c:pt idx="18">
                  <c:v>Gasóleo C</c:v>
                </c:pt>
                <c:pt idx="19">
                  <c:v>Gasóleo para uso marítimo</c:v>
                </c:pt>
                <c:pt idx="20">
                  <c:v>Diésel para uso marítimo</c:v>
                </c:pt>
                <c:pt idx="21">
                  <c:v>Otros Gasóleos</c:v>
                </c:pt>
                <c:pt idx="22">
                  <c:v>Biodiesel</c:v>
                </c:pt>
                <c:pt idx="23">
                  <c:v>Biodiesel Mezcla</c:v>
                </c:pt>
                <c:pt idx="24">
                  <c:v>Fuelóleo BIA</c:v>
                </c:pt>
                <c:pt idx="25">
                  <c:v>Fuelóleo de refineria</c:v>
                </c:pt>
                <c:pt idx="26">
                  <c:v>Otros combustibles para uso marítimo</c:v>
                </c:pt>
                <c:pt idx="27">
                  <c:v>Otros Fuelóleos</c:v>
                </c:pt>
                <c:pt idx="28">
                  <c:v>Aceites y bases lubricantes</c:v>
                </c:pt>
                <c:pt idx="29">
                  <c:v>Productos asfálticos</c:v>
                </c:pt>
                <c:pt idx="30">
                  <c:v>Disolventes</c:v>
                </c:pt>
                <c:pt idx="31">
                  <c:v>Parafinas</c:v>
                </c:pt>
                <c:pt idx="32">
                  <c:v>Coque de petróleo</c:v>
                </c:pt>
                <c:pt idx="33">
                  <c:v>Otros Productos</c:v>
                </c:pt>
              </c:strCache>
            </c:strRef>
          </c:cat>
          <c:val>
            <c:numRef>
              <c:f>'2026'!$AV$17:$AV$50</c:f>
              <c:numCache>
                <c:formatCode>0.0</c:formatCode>
                <c:ptCount val="34"/>
                <c:pt idx="0">
                  <c:v>183.96</c:v>
                </c:pt>
                <c:pt idx="1">
                  <c:v>0</c:v>
                </c:pt>
                <c:pt idx="2">
                  <c:v>97.680999999999997</c:v>
                </c:pt>
                <c:pt idx="3">
                  <c:v>0</c:v>
                </c:pt>
                <c:pt idx="4">
                  <c:v>71.284999999999997</c:v>
                </c:pt>
                <c:pt idx="5">
                  <c:v>0</c:v>
                </c:pt>
                <c:pt idx="6">
                  <c:v>78.712000000000003</c:v>
                </c:pt>
                <c:pt idx="7">
                  <c:v>3.8170000000000002</c:v>
                </c:pt>
                <c:pt idx="8">
                  <c:v>0</c:v>
                </c:pt>
                <c:pt idx="9">
                  <c:v>828.1</c:v>
                </c:pt>
                <c:pt idx="10">
                  <c:v>0</c:v>
                </c:pt>
                <c:pt idx="11">
                  <c:v>0</c:v>
                </c:pt>
                <c:pt idx="12">
                  <c:v>57.412999999999997</c:v>
                </c:pt>
                <c:pt idx="13">
                  <c:v>0</c:v>
                </c:pt>
                <c:pt idx="14">
                  <c:v>883.654</c:v>
                </c:pt>
                <c:pt idx="15">
                  <c:v>0</c:v>
                </c:pt>
                <c:pt idx="16">
                  <c:v>272.70400000000001</c:v>
                </c:pt>
                <c:pt idx="17">
                  <c:v>4.282</c:v>
                </c:pt>
                <c:pt idx="18">
                  <c:v>1.8640000000000001</c:v>
                </c:pt>
                <c:pt idx="19">
                  <c:v>75.231999999999999</c:v>
                </c:pt>
                <c:pt idx="20">
                  <c:v>0</c:v>
                </c:pt>
                <c:pt idx="21">
                  <c:v>1697.3580000000002</c:v>
                </c:pt>
                <c:pt idx="22">
                  <c:v>44.658999999999999</c:v>
                </c:pt>
                <c:pt idx="23">
                  <c:v>0</c:v>
                </c:pt>
                <c:pt idx="24">
                  <c:v>0</c:v>
                </c:pt>
                <c:pt idx="25">
                  <c:v>8.5999999999999993E-2</c:v>
                </c:pt>
                <c:pt idx="26">
                  <c:v>0</c:v>
                </c:pt>
                <c:pt idx="27">
                  <c:v>209.661</c:v>
                </c:pt>
                <c:pt idx="28">
                  <c:v>19.468</c:v>
                </c:pt>
                <c:pt idx="29">
                  <c:v>166.62</c:v>
                </c:pt>
                <c:pt idx="30">
                  <c:v>10.268000000000001</c:v>
                </c:pt>
                <c:pt idx="31">
                  <c:v>5.2619999999999996</c:v>
                </c:pt>
                <c:pt idx="32">
                  <c:v>235.03299999999999</c:v>
                </c:pt>
                <c:pt idx="33">
                  <c:v>163.01299999999998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2C-432E-9393-D2E75BCBB13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30337864"/>
        <c:axId val="430337536"/>
      </c:barChart>
      <c:valAx>
        <c:axId val="430337536"/>
        <c:scaling>
          <c:orientation val="minMax"/>
          <c:max val="2000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kt</a:t>
                </a:r>
              </a:p>
            </c:rich>
          </c:tx>
          <c:overlay val="0"/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864"/>
        <c:crosses val="autoZero"/>
        <c:crossBetween val="between"/>
      </c:valAx>
      <c:catAx>
        <c:axId val="430337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'2024'!$A$31</c:f>
              <c:strCache>
                <c:ptCount val="1"/>
                <c:pt idx="0">
                  <c:v>Gasóleo 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'2024'!$B$31:$M$31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3-420F-9647-F9C89A5D104C}"/>
            </c:ext>
          </c:extLst>
        </c:ser>
        <c:ser>
          <c:idx val="1"/>
          <c:order val="1"/>
          <c:tx>
            <c:strRef>
              <c:f>'2024'!$A$32</c:f>
              <c:strCache>
                <c:ptCount val="1"/>
                <c:pt idx="0">
                  <c:v>Gasóleo A 10 PPM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'2024'!$B$32:$M$32</c:f>
              <c:numCache>
                <c:formatCode>#,##0</c:formatCode>
                <c:ptCount val="12"/>
                <c:pt idx="0">
                  <c:v>245.779</c:v>
                </c:pt>
                <c:pt idx="1">
                  <c:v>218.411</c:v>
                </c:pt>
                <c:pt idx="2">
                  <c:v>268.529</c:v>
                </c:pt>
                <c:pt idx="3">
                  <c:v>271.846</c:v>
                </c:pt>
                <c:pt idx="4">
                  <c:v>268.11700000000002</c:v>
                </c:pt>
                <c:pt idx="5">
                  <c:v>189.79</c:v>
                </c:pt>
                <c:pt idx="6">
                  <c:v>250.96199999999999</c:v>
                </c:pt>
                <c:pt idx="7">
                  <c:v>263.01499999999999</c:v>
                </c:pt>
                <c:pt idx="8">
                  <c:v>251.733</c:v>
                </c:pt>
                <c:pt idx="9">
                  <c:v>235.096</c:v>
                </c:pt>
                <c:pt idx="10">
                  <c:v>235.828</c:v>
                </c:pt>
                <c:pt idx="11">
                  <c:v>244.75200000000001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3-420F-9647-F9C89A5D104C}"/>
            </c:ext>
          </c:extLst>
        </c:ser>
        <c:ser>
          <c:idx val="2"/>
          <c:order val="2"/>
          <c:tx>
            <c:strRef>
              <c:f>'2024'!$A$33</c:f>
              <c:strCache>
                <c:ptCount val="1"/>
                <c:pt idx="0">
                  <c:v>Gasóleo B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'2024'!$B$33:$M$33</c:f>
              <c:numCache>
                <c:formatCode>#,##0</c:formatCode>
                <c:ptCount val="12"/>
                <c:pt idx="0">
                  <c:v>35.982999999999997</c:v>
                </c:pt>
                <c:pt idx="1">
                  <c:v>46.74</c:v>
                </c:pt>
                <c:pt idx="2">
                  <c:v>23.43</c:v>
                </c:pt>
                <c:pt idx="3">
                  <c:v>27.341000000000001</c:v>
                </c:pt>
                <c:pt idx="4">
                  <c:v>34.960999999999999</c:v>
                </c:pt>
                <c:pt idx="5">
                  <c:v>22.378</c:v>
                </c:pt>
                <c:pt idx="6">
                  <c:v>28.337</c:v>
                </c:pt>
                <c:pt idx="7">
                  <c:v>19.952000000000002</c:v>
                </c:pt>
                <c:pt idx="8">
                  <c:v>21.782</c:v>
                </c:pt>
                <c:pt idx="9">
                  <c:v>27.518000000000001</c:v>
                </c:pt>
                <c:pt idx="10">
                  <c:v>39.524999999999999</c:v>
                </c:pt>
                <c:pt idx="11">
                  <c:v>38.040999999999997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53-420F-9647-F9C89A5D104C}"/>
            </c:ext>
          </c:extLst>
        </c:ser>
        <c:ser>
          <c:idx val="3"/>
          <c:order val="3"/>
          <c:tx>
            <c:strRef>
              <c:f>'2024'!$A$34</c:f>
              <c:strCache>
                <c:ptCount val="1"/>
                <c:pt idx="0">
                  <c:v>Gasóleo C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'2024'!$B$34:$M$34</c:f>
              <c:numCache>
                <c:formatCode>#,##0</c:formatCode>
                <c:ptCount val="12"/>
                <c:pt idx="0">
                  <c:v>13.041</c:v>
                </c:pt>
                <c:pt idx="1">
                  <c:v>19.974</c:v>
                </c:pt>
                <c:pt idx="2">
                  <c:v>7.0830000000000002</c:v>
                </c:pt>
                <c:pt idx="3">
                  <c:v>6.8419999999999996</c:v>
                </c:pt>
                <c:pt idx="4">
                  <c:v>7.3479999999999999</c:v>
                </c:pt>
                <c:pt idx="5">
                  <c:v>4.2850000000000001</c:v>
                </c:pt>
                <c:pt idx="6">
                  <c:v>3.3490000000000002</c:v>
                </c:pt>
                <c:pt idx="7">
                  <c:v>2.9279999999999999</c:v>
                </c:pt>
                <c:pt idx="8">
                  <c:v>4.9349999999999996</c:v>
                </c:pt>
                <c:pt idx="9">
                  <c:v>15.093999999999999</c:v>
                </c:pt>
                <c:pt idx="10">
                  <c:v>15.789</c:v>
                </c:pt>
                <c:pt idx="11">
                  <c:v>11.247999999999999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53-420F-9647-F9C89A5D104C}"/>
            </c:ext>
          </c:extLst>
        </c:ser>
        <c:ser>
          <c:idx val="4"/>
          <c:order val="4"/>
          <c:tx>
            <c:strRef>
              <c:f>'2024'!$A$35</c:f>
              <c:strCache>
                <c:ptCount val="1"/>
                <c:pt idx="0">
                  <c:v>Gasóleo para uso marítimo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'2024'!$B$35:$M$35</c:f>
              <c:numCache>
                <c:formatCode>#,##0</c:formatCode>
                <c:ptCount val="12"/>
                <c:pt idx="0">
                  <c:v>63.41</c:v>
                </c:pt>
                <c:pt idx="1">
                  <c:v>61.116</c:v>
                </c:pt>
                <c:pt idx="2">
                  <c:v>61.688000000000002</c:v>
                </c:pt>
                <c:pt idx="3">
                  <c:v>54.295999999999999</c:v>
                </c:pt>
                <c:pt idx="4">
                  <c:v>24.411000000000001</c:v>
                </c:pt>
                <c:pt idx="5">
                  <c:v>31.623000000000001</c:v>
                </c:pt>
                <c:pt idx="6">
                  <c:v>46.93</c:v>
                </c:pt>
                <c:pt idx="7">
                  <c:v>55.896999999999998</c:v>
                </c:pt>
                <c:pt idx="8">
                  <c:v>58.713999999999999</c:v>
                </c:pt>
                <c:pt idx="9">
                  <c:v>68.896000000000001</c:v>
                </c:pt>
                <c:pt idx="10">
                  <c:v>71.676000000000002</c:v>
                </c:pt>
                <c:pt idx="11">
                  <c:v>62.74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53-420F-9647-F9C89A5D104C}"/>
            </c:ext>
          </c:extLst>
        </c:ser>
        <c:ser>
          <c:idx val="5"/>
          <c:order val="5"/>
          <c:tx>
            <c:strRef>
              <c:f>'2024'!$A$36</c:f>
              <c:strCache>
                <c:ptCount val="1"/>
                <c:pt idx="0">
                  <c:v>Diésel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'2024'!$B$36:$M$36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53-420F-9647-F9C89A5D104C}"/>
            </c:ext>
          </c:extLst>
        </c:ser>
        <c:ser>
          <c:idx val="6"/>
          <c:order val="6"/>
          <c:tx>
            <c:strRef>
              <c:f>'2024'!$A$37</c:f>
              <c:strCache>
                <c:ptCount val="1"/>
                <c:pt idx="0">
                  <c:v>Otros Gasóleos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'2024'!$B$37:$M$37</c:f>
              <c:numCache>
                <c:formatCode>#,##0</c:formatCode>
                <c:ptCount val="12"/>
                <c:pt idx="0">
                  <c:v>1932.47</c:v>
                </c:pt>
                <c:pt idx="1">
                  <c:v>1785.8960000000002</c:v>
                </c:pt>
                <c:pt idx="2">
                  <c:v>1790.7059999999999</c:v>
                </c:pt>
                <c:pt idx="3">
                  <c:v>1744.5520000000001</c:v>
                </c:pt>
                <c:pt idx="4">
                  <c:v>1900.4830000000002</c:v>
                </c:pt>
                <c:pt idx="5">
                  <c:v>1689.923</c:v>
                </c:pt>
                <c:pt idx="6">
                  <c:v>1784.0399999999997</c:v>
                </c:pt>
                <c:pt idx="7">
                  <c:v>1765.1760000000002</c:v>
                </c:pt>
                <c:pt idx="8">
                  <c:v>1620.6510000000001</c:v>
                </c:pt>
                <c:pt idx="9">
                  <c:v>1733.66</c:v>
                </c:pt>
                <c:pt idx="10">
                  <c:v>1528.5329999999999</c:v>
                </c:pt>
                <c:pt idx="11">
                  <c:v>1780.252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753-420F-9647-F9C89A5D1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325096"/>
        <c:axId val="431326080"/>
      </c:lineChart>
      <c:valAx>
        <c:axId val="43132608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5096"/>
        <c:crosses val="autoZero"/>
        <c:crossBetween val="between"/>
      </c:valAx>
      <c:dateAx>
        <c:axId val="4313250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608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Bio's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'2024'!$A$26</c:f>
              <c:strCache>
                <c:ptCount val="1"/>
                <c:pt idx="0">
                  <c:v>Bioetanol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'2024'!$B$26:$M$26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6-41AD-A555-7BC5DFDBDBF9}"/>
            </c:ext>
          </c:extLst>
        </c:ser>
        <c:ser>
          <c:idx val="1"/>
          <c:order val="1"/>
          <c:tx>
            <c:strRef>
              <c:f>'2024'!$A$38</c:f>
              <c:strCache>
                <c:ptCount val="1"/>
                <c:pt idx="0">
                  <c:v>Biodiesel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'2024'!$B$38:$M$38</c:f>
              <c:numCache>
                <c:formatCode>#,##0</c:formatCode>
                <c:ptCount val="12"/>
                <c:pt idx="0">
                  <c:v>8.4109999999999996</c:v>
                </c:pt>
                <c:pt idx="1">
                  <c:v>7.27</c:v>
                </c:pt>
                <c:pt idx="2">
                  <c:v>18.771000000000001</c:v>
                </c:pt>
                <c:pt idx="3">
                  <c:v>29.706</c:v>
                </c:pt>
                <c:pt idx="4">
                  <c:v>38.770000000000003</c:v>
                </c:pt>
                <c:pt idx="5">
                  <c:v>37.173000000000002</c:v>
                </c:pt>
                <c:pt idx="6">
                  <c:v>38.064</c:v>
                </c:pt>
                <c:pt idx="7">
                  <c:v>40.988</c:v>
                </c:pt>
                <c:pt idx="8">
                  <c:v>27.469000000000001</c:v>
                </c:pt>
                <c:pt idx="9">
                  <c:v>23.576000000000001</c:v>
                </c:pt>
                <c:pt idx="10">
                  <c:v>36.21</c:v>
                </c:pt>
                <c:pt idx="11">
                  <c:v>14.125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6-41AD-A555-7BC5DFDBDBF9}"/>
            </c:ext>
          </c:extLst>
        </c:ser>
        <c:ser>
          <c:idx val="2"/>
          <c:order val="2"/>
          <c:tx>
            <c:strRef>
              <c:f>'2024'!$A$39</c:f>
              <c:strCache>
                <c:ptCount val="1"/>
                <c:pt idx="0">
                  <c:v>Biodiesel Mezcla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'2024'!$B$39:$M$39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66-41AD-A555-7BC5DFDBDBF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2472"/>
        <c:axId val="431321488"/>
      </c:lineChart>
      <c:valAx>
        <c:axId val="43132148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2472"/>
        <c:crosses val="autoZero"/>
        <c:crossBetween val="between"/>
      </c:valAx>
      <c:dateAx>
        <c:axId val="4313224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148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13" Type="http://schemas.openxmlformats.org/officeDocument/2006/relationships/chart" Target="../charts/chart30.xml"/><Relationship Id="rId3" Type="http://schemas.openxmlformats.org/officeDocument/2006/relationships/chart" Target="../charts/chart20.xml"/><Relationship Id="rId7" Type="http://schemas.openxmlformats.org/officeDocument/2006/relationships/chart" Target="../charts/chart24.xml"/><Relationship Id="rId12" Type="http://schemas.openxmlformats.org/officeDocument/2006/relationships/chart" Target="../charts/chart29.xml"/><Relationship Id="rId17" Type="http://schemas.openxmlformats.org/officeDocument/2006/relationships/chart" Target="../charts/chart34.xml"/><Relationship Id="rId2" Type="http://schemas.openxmlformats.org/officeDocument/2006/relationships/chart" Target="../charts/chart19.xml"/><Relationship Id="rId16" Type="http://schemas.openxmlformats.org/officeDocument/2006/relationships/chart" Target="../charts/chart33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11" Type="http://schemas.openxmlformats.org/officeDocument/2006/relationships/chart" Target="../charts/chart28.xml"/><Relationship Id="rId5" Type="http://schemas.openxmlformats.org/officeDocument/2006/relationships/chart" Target="../charts/chart22.xml"/><Relationship Id="rId15" Type="http://schemas.openxmlformats.org/officeDocument/2006/relationships/chart" Target="../charts/chart32.xml"/><Relationship Id="rId10" Type="http://schemas.openxmlformats.org/officeDocument/2006/relationships/chart" Target="../charts/chart27.xml"/><Relationship Id="rId4" Type="http://schemas.openxmlformats.org/officeDocument/2006/relationships/chart" Target="../charts/chart21.xml"/><Relationship Id="rId9" Type="http://schemas.openxmlformats.org/officeDocument/2006/relationships/chart" Target="../charts/chart26.xml"/><Relationship Id="rId14" Type="http://schemas.openxmlformats.org/officeDocument/2006/relationships/chart" Target="../charts/chart3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2.xml"/><Relationship Id="rId13" Type="http://schemas.openxmlformats.org/officeDocument/2006/relationships/chart" Target="../charts/chart47.xml"/><Relationship Id="rId3" Type="http://schemas.openxmlformats.org/officeDocument/2006/relationships/chart" Target="../charts/chart37.xml"/><Relationship Id="rId7" Type="http://schemas.openxmlformats.org/officeDocument/2006/relationships/chart" Target="../charts/chart41.xml"/><Relationship Id="rId12" Type="http://schemas.openxmlformats.org/officeDocument/2006/relationships/chart" Target="../charts/chart46.xml"/><Relationship Id="rId17" Type="http://schemas.openxmlformats.org/officeDocument/2006/relationships/chart" Target="../charts/chart51.xml"/><Relationship Id="rId2" Type="http://schemas.openxmlformats.org/officeDocument/2006/relationships/chart" Target="../charts/chart36.xml"/><Relationship Id="rId16" Type="http://schemas.openxmlformats.org/officeDocument/2006/relationships/chart" Target="../charts/chart50.xml"/><Relationship Id="rId1" Type="http://schemas.openxmlformats.org/officeDocument/2006/relationships/chart" Target="../charts/chart35.xml"/><Relationship Id="rId6" Type="http://schemas.openxmlformats.org/officeDocument/2006/relationships/chart" Target="../charts/chart40.xml"/><Relationship Id="rId11" Type="http://schemas.openxmlformats.org/officeDocument/2006/relationships/chart" Target="../charts/chart45.xml"/><Relationship Id="rId5" Type="http://schemas.openxmlformats.org/officeDocument/2006/relationships/chart" Target="../charts/chart39.xml"/><Relationship Id="rId15" Type="http://schemas.openxmlformats.org/officeDocument/2006/relationships/chart" Target="../charts/chart49.xml"/><Relationship Id="rId10" Type="http://schemas.openxmlformats.org/officeDocument/2006/relationships/chart" Target="../charts/chart44.xml"/><Relationship Id="rId4" Type="http://schemas.openxmlformats.org/officeDocument/2006/relationships/chart" Target="../charts/chart38.xml"/><Relationship Id="rId9" Type="http://schemas.openxmlformats.org/officeDocument/2006/relationships/chart" Target="../charts/chart43.xml"/><Relationship Id="rId14" Type="http://schemas.openxmlformats.org/officeDocument/2006/relationships/chart" Target="../charts/chart48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13" Type="http://schemas.openxmlformats.org/officeDocument/2006/relationships/chart" Target="../charts/chart64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12" Type="http://schemas.openxmlformats.org/officeDocument/2006/relationships/chart" Target="../charts/chart63.xml"/><Relationship Id="rId2" Type="http://schemas.openxmlformats.org/officeDocument/2006/relationships/chart" Target="../charts/chart53.xml"/><Relationship Id="rId16" Type="http://schemas.openxmlformats.org/officeDocument/2006/relationships/chart" Target="../charts/chart67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11" Type="http://schemas.openxmlformats.org/officeDocument/2006/relationships/chart" Target="../charts/chart62.xml"/><Relationship Id="rId5" Type="http://schemas.openxmlformats.org/officeDocument/2006/relationships/chart" Target="../charts/chart56.xml"/><Relationship Id="rId15" Type="http://schemas.openxmlformats.org/officeDocument/2006/relationships/chart" Target="../charts/chart66.xml"/><Relationship Id="rId10" Type="http://schemas.openxmlformats.org/officeDocument/2006/relationships/chart" Target="../charts/chart61.xml"/><Relationship Id="rId4" Type="http://schemas.openxmlformats.org/officeDocument/2006/relationships/chart" Target="../charts/chart55.xml"/><Relationship Id="rId9" Type="http://schemas.openxmlformats.org/officeDocument/2006/relationships/chart" Target="../charts/chart60.xml"/><Relationship Id="rId14" Type="http://schemas.openxmlformats.org/officeDocument/2006/relationships/chart" Target="../charts/chart6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47621</xdr:rowOff>
    </xdr:from>
    <xdr:ext cx="3686175" cy="847721"/>
    <xdr:sp macro="" textlink="">
      <xdr:nvSp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150" y="224514"/>
          <a:ext cx="3686175" cy="84772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600075</xdr:colOff>
      <xdr:row>0</xdr:row>
      <xdr:rowOff>104771</xdr:rowOff>
    </xdr:from>
    <xdr:ext cx="2447921" cy="1323978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648075" y="104771"/>
          <a:ext cx="2447921" cy="1323978"/>
        </a:xfrm>
        <a:prstGeom prst="rect">
          <a:avLst/>
        </a:prstGeom>
        <a:solidFill>
          <a:srgbClr val="FFFFFF"/>
        </a:solidFill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none" spc="0" baseline="0">
              <a:solidFill>
                <a:srgbClr val="000000"/>
              </a:solidFill>
              <a:uFillTx/>
              <a:latin typeface="Gill Sans MT"/>
            </a:rPr>
            <a:t>SECRETARÍA DE ESTADO DE ENERGÍA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Gill Sans MT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all" spc="0" baseline="0">
              <a:solidFill>
                <a:srgbClr val="000000"/>
              </a:solidFill>
              <a:uFillTx/>
              <a:latin typeface="Calibri"/>
              <a:ea typeface="+mn-ea"/>
              <a:cs typeface="+mn-cs"/>
            </a:rPr>
            <a:t>DIRECCIÓN GENERAL DE PLANIFICACIÓN Y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all" spc="0" baseline="0">
              <a:solidFill>
                <a:srgbClr val="000000"/>
              </a:solidFill>
              <a:uFillTx/>
              <a:latin typeface="Calibri"/>
              <a:ea typeface="+mn-ea"/>
              <a:cs typeface="+mn-cs"/>
            </a:rPr>
            <a:t>COORDINACIÓN ENERGÉTICA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all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all" spc="0" baseline="0">
              <a:solidFill>
                <a:srgbClr val="000000"/>
              </a:solidFill>
              <a:uFillTx/>
              <a:latin typeface="Calibri"/>
            </a:rPr>
            <a:t>SUBDIRECCIÓN GENERAL de Prospectiva y estadísticas energéticas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ISSN EN LINEA: 2603-6169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NIPO EN LINEA: 665-20-087-3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algn="l" defTabSz="914400" rtl="0" fontAlgn="auto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Gill Sans MT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50" b="0" i="0" u="none" strike="noStrike" kern="0" cap="none" spc="0" baseline="0">
            <a:solidFill>
              <a:srgbClr val="000000"/>
            </a:solidFill>
            <a:uFillTx/>
            <a:latin typeface="Gill Sans MT"/>
          </a:endParaRPr>
        </a:p>
      </xdr:txBody>
    </xdr:sp>
    <xdr:clientData/>
  </xdr:oneCellAnchor>
  <xdr:twoCellAnchor editAs="oneCell">
    <xdr:from>
      <xdr:col>0</xdr:col>
      <xdr:colOff>226219</xdr:colOff>
      <xdr:row>0</xdr:row>
      <xdr:rowOff>130969</xdr:rowOff>
    </xdr:from>
    <xdr:to>
      <xdr:col>4</xdr:col>
      <xdr:colOff>447199</xdr:colOff>
      <xdr:row>5</xdr:row>
      <xdr:rowOff>71120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DB580F-94E9-47C3-B53B-D92CD0398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219" y="130969"/>
          <a:ext cx="3268980" cy="833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17318</xdr:colOff>
      <xdr:row>4</xdr:row>
      <xdr:rowOff>17322</xdr:rowOff>
    </xdr:from>
    <xdr:ext cx="4706215" cy="2615906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5C362803-F016-4F1F-9474-CD640EF007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32</xdr:col>
      <xdr:colOff>452747</xdr:colOff>
      <xdr:row>4</xdr:row>
      <xdr:rowOff>13535</xdr:rowOff>
    </xdr:from>
    <xdr:ext cx="4621553" cy="2623778"/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D6034003-95A7-44EF-90B1-C2D9C8900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27</xdr:col>
      <xdr:colOff>30981</xdr:colOff>
      <xdr:row>14</xdr:row>
      <xdr:rowOff>191221</xdr:rowOff>
    </xdr:from>
    <xdr:ext cx="4699181" cy="3030311"/>
    <xdr:graphicFrame macro="">
      <xdr:nvGraphicFramePr>
        <xdr:cNvPr id="4" name="Gráfico 7">
          <a:extLst>
            <a:ext uri="{FF2B5EF4-FFF2-40B4-BE49-F238E27FC236}">
              <a16:creationId xmlns:a16="http://schemas.microsoft.com/office/drawing/2014/main" id="{8918E05B-0331-4E03-B740-666D897B09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32</xdr:col>
      <xdr:colOff>460242</xdr:colOff>
      <xdr:row>14</xdr:row>
      <xdr:rowOff>195299</xdr:rowOff>
    </xdr:from>
    <xdr:ext cx="4637314" cy="3030315"/>
    <xdr:graphicFrame macro="">
      <xdr:nvGraphicFramePr>
        <xdr:cNvPr id="5" name="Gráfico 8">
          <a:extLst>
            <a:ext uri="{FF2B5EF4-FFF2-40B4-BE49-F238E27FC236}">
              <a16:creationId xmlns:a16="http://schemas.microsoft.com/office/drawing/2014/main" id="{4E073480-E071-4CC7-A19A-FBDFC794F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32</xdr:col>
      <xdr:colOff>408213</xdr:colOff>
      <xdr:row>29</xdr:row>
      <xdr:rowOff>220435</xdr:rowOff>
    </xdr:from>
    <xdr:ext cx="4626430" cy="2894239"/>
    <xdr:graphicFrame macro="">
      <xdr:nvGraphicFramePr>
        <xdr:cNvPr id="6" name="Gráfico 13">
          <a:extLst>
            <a:ext uri="{FF2B5EF4-FFF2-40B4-BE49-F238E27FC236}">
              <a16:creationId xmlns:a16="http://schemas.microsoft.com/office/drawing/2014/main" id="{5287E04B-B03B-4142-9FBE-FF306E421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37</xdr:col>
      <xdr:colOff>787049</xdr:colOff>
      <xdr:row>29</xdr:row>
      <xdr:rowOff>226942</xdr:rowOff>
    </xdr:from>
    <xdr:ext cx="4233986" cy="2897257"/>
    <xdr:graphicFrame macro="">
      <xdr:nvGraphicFramePr>
        <xdr:cNvPr id="7" name="Gráfico 15">
          <a:extLst>
            <a:ext uri="{FF2B5EF4-FFF2-40B4-BE49-F238E27FC236}">
              <a16:creationId xmlns:a16="http://schemas.microsoft.com/office/drawing/2014/main" id="{8982ED69-E3E3-46F7-B990-39CD639963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27</xdr:col>
      <xdr:colOff>7258</xdr:colOff>
      <xdr:row>44</xdr:row>
      <xdr:rowOff>90014</xdr:rowOff>
    </xdr:from>
    <xdr:ext cx="4669517" cy="2662504"/>
    <xdr:graphicFrame macro="">
      <xdr:nvGraphicFramePr>
        <xdr:cNvPr id="8" name="Gráfico 16">
          <a:extLst>
            <a:ext uri="{FF2B5EF4-FFF2-40B4-BE49-F238E27FC236}">
              <a16:creationId xmlns:a16="http://schemas.microsoft.com/office/drawing/2014/main" id="{1BF0CEBB-37D6-497A-88C1-6028D6E71A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32</xdr:col>
      <xdr:colOff>421822</xdr:colOff>
      <xdr:row>44</xdr:row>
      <xdr:rowOff>92994</xdr:rowOff>
    </xdr:from>
    <xdr:ext cx="4626427" cy="2656599"/>
    <xdr:graphicFrame macro="">
      <xdr:nvGraphicFramePr>
        <xdr:cNvPr id="9" name="Gráfico 17">
          <a:extLst>
            <a:ext uri="{FF2B5EF4-FFF2-40B4-BE49-F238E27FC236}">
              <a16:creationId xmlns:a16="http://schemas.microsoft.com/office/drawing/2014/main" id="{D96D8991-47E7-4555-A1BD-2F2A1C911F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37</xdr:col>
      <xdr:colOff>789333</xdr:colOff>
      <xdr:row>44</xdr:row>
      <xdr:rowOff>104481</xdr:rowOff>
    </xdr:from>
    <xdr:ext cx="4238211" cy="2656940"/>
    <xdr:graphicFrame macro="">
      <xdr:nvGraphicFramePr>
        <xdr:cNvPr id="10" name="Gráfico 18">
          <a:extLst>
            <a:ext uri="{FF2B5EF4-FFF2-40B4-BE49-F238E27FC236}">
              <a16:creationId xmlns:a16="http://schemas.microsoft.com/office/drawing/2014/main" id="{4DCBBE7B-E57E-4C3E-A559-4583BD52D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27</xdr:col>
      <xdr:colOff>14261</xdr:colOff>
      <xdr:row>59</xdr:row>
      <xdr:rowOff>26349</xdr:rowOff>
    </xdr:from>
    <xdr:ext cx="4680203" cy="2848840"/>
    <xdr:graphicFrame macro="">
      <xdr:nvGraphicFramePr>
        <xdr:cNvPr id="11" name="Gráfico 19">
          <a:extLst>
            <a:ext uri="{FF2B5EF4-FFF2-40B4-BE49-F238E27FC236}">
              <a16:creationId xmlns:a16="http://schemas.microsoft.com/office/drawing/2014/main" id="{0BB038CC-D89A-4551-8AC2-1FD91B20BA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32</xdr:col>
      <xdr:colOff>423716</xdr:colOff>
      <xdr:row>59</xdr:row>
      <xdr:rowOff>32275</xdr:rowOff>
    </xdr:from>
    <xdr:ext cx="4624534" cy="2844158"/>
    <xdr:graphicFrame macro="">
      <xdr:nvGraphicFramePr>
        <xdr:cNvPr id="12" name="Gráfico 20">
          <a:extLst>
            <a:ext uri="{FF2B5EF4-FFF2-40B4-BE49-F238E27FC236}">
              <a16:creationId xmlns:a16="http://schemas.microsoft.com/office/drawing/2014/main" id="{36A6EC59-FCBE-4E8C-8201-8FE4908551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  <xdr:oneCellAnchor>
    <xdr:from>
      <xdr:col>37</xdr:col>
      <xdr:colOff>787941</xdr:colOff>
      <xdr:row>59</xdr:row>
      <xdr:rowOff>30136</xdr:rowOff>
    </xdr:from>
    <xdr:ext cx="4241259" cy="2845053"/>
    <xdr:graphicFrame macro="">
      <xdr:nvGraphicFramePr>
        <xdr:cNvPr id="13" name="Gráfico 21">
          <a:extLst>
            <a:ext uri="{FF2B5EF4-FFF2-40B4-BE49-F238E27FC236}">
              <a16:creationId xmlns:a16="http://schemas.microsoft.com/office/drawing/2014/main" id="{D241EB8C-9922-4197-885C-0E4FAB215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oneCellAnchor>
  <xdr:oneCellAnchor>
    <xdr:from>
      <xdr:col>16</xdr:col>
      <xdr:colOff>400050</xdr:colOff>
      <xdr:row>4</xdr:row>
      <xdr:rowOff>171450</xdr:rowOff>
    </xdr:from>
    <xdr:ext cx="6198177" cy="3047996"/>
    <xdr:graphicFrame macro="">
      <xdr:nvGraphicFramePr>
        <xdr:cNvPr id="14" name="Gráfico 19">
          <a:extLst>
            <a:ext uri="{FF2B5EF4-FFF2-40B4-BE49-F238E27FC236}">
              <a16:creationId xmlns:a16="http://schemas.microsoft.com/office/drawing/2014/main" id="{2CFFB7BE-4A78-444D-B987-46D14774CC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oneCellAnchor>
  <xdr:oneCellAnchor>
    <xdr:from>
      <xdr:col>16</xdr:col>
      <xdr:colOff>400050</xdr:colOff>
      <xdr:row>17</xdr:row>
      <xdr:rowOff>76203</xdr:rowOff>
    </xdr:from>
    <xdr:ext cx="6200217" cy="3562904"/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24D913FD-A7DA-431E-889D-A53B9B13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oneCellAnchor>
  <xdr:oneCellAnchor>
    <xdr:from>
      <xdr:col>16</xdr:col>
      <xdr:colOff>419096</xdr:colOff>
      <xdr:row>35</xdr:row>
      <xdr:rowOff>180978</xdr:rowOff>
    </xdr:from>
    <xdr:ext cx="7958132" cy="6310310"/>
    <xdr:graphicFrame macro="">
      <xdr:nvGraphicFramePr>
        <xdr:cNvPr id="16" name="Gráfico 23">
          <a:extLst>
            <a:ext uri="{FF2B5EF4-FFF2-40B4-BE49-F238E27FC236}">
              <a16:creationId xmlns:a16="http://schemas.microsoft.com/office/drawing/2014/main" id="{7DDCE491-F055-47DE-B3B4-EE132F745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oneCellAnchor>
  <xdr:twoCellAnchor>
    <xdr:from>
      <xdr:col>27</xdr:col>
      <xdr:colOff>10583</xdr:colOff>
      <xdr:row>29</xdr:row>
      <xdr:rowOff>221673</xdr:rowOff>
    </xdr:from>
    <xdr:to>
      <xdr:col>32</xdr:col>
      <xdr:colOff>312965</xdr:colOff>
      <xdr:row>43</xdr:row>
      <xdr:rowOff>177248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2B6B0324-DCFC-45E8-B982-89B1316F22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oneCellAnchor>
    <xdr:from>
      <xdr:col>37</xdr:col>
      <xdr:colOff>860612</xdr:colOff>
      <xdr:row>4</xdr:row>
      <xdr:rowOff>11206</xdr:rowOff>
    </xdr:from>
    <xdr:ext cx="4146817" cy="2623778"/>
    <xdr:graphicFrame macro="">
      <xdr:nvGraphicFramePr>
        <xdr:cNvPr id="18" name="Gráfico 1">
          <a:extLst>
            <a:ext uri="{FF2B5EF4-FFF2-40B4-BE49-F238E27FC236}">
              <a16:creationId xmlns:a16="http://schemas.microsoft.com/office/drawing/2014/main" id="{28AC365A-6F9A-4657-AD6D-D4C52228EC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17318</xdr:colOff>
      <xdr:row>3</xdr:row>
      <xdr:rowOff>173186</xdr:rowOff>
    </xdr:from>
    <xdr:ext cx="4706215" cy="2615906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848DC0D4-C2F2-4602-99DD-579AE4150C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32</xdr:col>
      <xdr:colOff>452747</xdr:colOff>
      <xdr:row>3</xdr:row>
      <xdr:rowOff>169399</xdr:rowOff>
    </xdr:from>
    <xdr:ext cx="4639464" cy="2623778"/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1C320643-5C14-4F19-9F9F-B1EDECC8C7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27</xdr:col>
      <xdr:colOff>6133</xdr:colOff>
      <xdr:row>14</xdr:row>
      <xdr:rowOff>163896</xdr:rowOff>
    </xdr:from>
    <xdr:ext cx="4727059" cy="3122141"/>
    <xdr:graphicFrame macro="">
      <xdr:nvGraphicFramePr>
        <xdr:cNvPr id="4" name="Gráfico 7">
          <a:extLst>
            <a:ext uri="{FF2B5EF4-FFF2-40B4-BE49-F238E27FC236}">
              <a16:creationId xmlns:a16="http://schemas.microsoft.com/office/drawing/2014/main" id="{958547FD-D826-4B45-8DDD-F02CC47059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32</xdr:col>
      <xdr:colOff>460242</xdr:colOff>
      <xdr:row>14</xdr:row>
      <xdr:rowOff>175751</xdr:rowOff>
    </xdr:from>
    <xdr:ext cx="4637314" cy="3099288"/>
    <xdr:graphicFrame macro="">
      <xdr:nvGraphicFramePr>
        <xdr:cNvPr id="5" name="Gráfico 8">
          <a:extLst>
            <a:ext uri="{FF2B5EF4-FFF2-40B4-BE49-F238E27FC236}">
              <a16:creationId xmlns:a16="http://schemas.microsoft.com/office/drawing/2014/main" id="{6CC7B7D1-38B8-4952-B39B-51AF389383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32</xdr:col>
      <xdr:colOff>486715</xdr:colOff>
      <xdr:row>31</xdr:row>
      <xdr:rowOff>118784</xdr:rowOff>
    </xdr:from>
    <xdr:ext cx="4626430" cy="3130922"/>
    <xdr:graphicFrame macro="">
      <xdr:nvGraphicFramePr>
        <xdr:cNvPr id="6" name="Gráfico 13">
          <a:extLst>
            <a:ext uri="{FF2B5EF4-FFF2-40B4-BE49-F238E27FC236}">
              <a16:creationId xmlns:a16="http://schemas.microsoft.com/office/drawing/2014/main" id="{6CDDDC07-206B-4EB0-B682-2603F04320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37</xdr:col>
      <xdr:colOff>843571</xdr:colOff>
      <xdr:row>31</xdr:row>
      <xdr:rowOff>115766</xdr:rowOff>
    </xdr:from>
    <xdr:ext cx="4202585" cy="3122734"/>
    <xdr:graphicFrame macro="">
      <xdr:nvGraphicFramePr>
        <xdr:cNvPr id="7" name="Gráfico 15">
          <a:extLst>
            <a:ext uri="{FF2B5EF4-FFF2-40B4-BE49-F238E27FC236}">
              <a16:creationId xmlns:a16="http://schemas.microsoft.com/office/drawing/2014/main" id="{2E782B81-0F31-4C3F-AE8E-1457C33C8D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27</xdr:col>
      <xdr:colOff>34472</xdr:colOff>
      <xdr:row>47</xdr:row>
      <xdr:rowOff>139831</xdr:rowOff>
    </xdr:from>
    <xdr:ext cx="4741635" cy="2840441"/>
    <xdr:graphicFrame macro="">
      <xdr:nvGraphicFramePr>
        <xdr:cNvPr id="8" name="Gráfico 16">
          <a:extLst>
            <a:ext uri="{FF2B5EF4-FFF2-40B4-BE49-F238E27FC236}">
              <a16:creationId xmlns:a16="http://schemas.microsoft.com/office/drawing/2014/main" id="{4CE74011-ADD6-499D-8F36-1072EEEE80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32</xdr:col>
      <xdr:colOff>484414</xdr:colOff>
      <xdr:row>47</xdr:row>
      <xdr:rowOff>147158</xdr:rowOff>
    </xdr:from>
    <xdr:ext cx="4642338" cy="2830189"/>
    <xdr:graphicFrame macro="">
      <xdr:nvGraphicFramePr>
        <xdr:cNvPr id="9" name="Gráfico 17">
          <a:extLst>
            <a:ext uri="{FF2B5EF4-FFF2-40B4-BE49-F238E27FC236}">
              <a16:creationId xmlns:a16="http://schemas.microsoft.com/office/drawing/2014/main" id="{7C5B5165-5E1A-4B97-83F0-9487FB487F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37</xdr:col>
      <xdr:colOff>854647</xdr:colOff>
      <xdr:row>47</xdr:row>
      <xdr:rowOff>152287</xdr:rowOff>
    </xdr:from>
    <xdr:ext cx="4220817" cy="2827363"/>
    <xdr:graphicFrame macro="">
      <xdr:nvGraphicFramePr>
        <xdr:cNvPr id="10" name="Gráfico 18">
          <a:extLst>
            <a:ext uri="{FF2B5EF4-FFF2-40B4-BE49-F238E27FC236}">
              <a16:creationId xmlns:a16="http://schemas.microsoft.com/office/drawing/2014/main" id="{A720A3DE-83B5-480F-97CE-FBE3490BC8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27</xdr:col>
      <xdr:colOff>41475</xdr:colOff>
      <xdr:row>64</xdr:row>
      <xdr:rowOff>23505</xdr:rowOff>
    </xdr:from>
    <xdr:ext cx="4725827" cy="2848840"/>
    <xdr:graphicFrame macro="">
      <xdr:nvGraphicFramePr>
        <xdr:cNvPr id="11" name="Gráfico 19">
          <a:extLst>
            <a:ext uri="{FF2B5EF4-FFF2-40B4-BE49-F238E27FC236}">
              <a16:creationId xmlns:a16="http://schemas.microsoft.com/office/drawing/2014/main" id="{18C54F1F-DC66-4B97-98F6-C6CEE488E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32</xdr:col>
      <xdr:colOff>501916</xdr:colOff>
      <xdr:row>64</xdr:row>
      <xdr:rowOff>19906</xdr:rowOff>
    </xdr:from>
    <xdr:ext cx="4624534" cy="2844158"/>
    <xdr:graphicFrame macro="">
      <xdr:nvGraphicFramePr>
        <xdr:cNvPr id="12" name="Gráfico 20">
          <a:extLst>
            <a:ext uri="{FF2B5EF4-FFF2-40B4-BE49-F238E27FC236}">
              <a16:creationId xmlns:a16="http://schemas.microsoft.com/office/drawing/2014/main" id="{626252AF-F4FC-4DE1-BFBD-2E66A94E82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  <xdr:oneCellAnchor>
    <xdr:from>
      <xdr:col>37</xdr:col>
      <xdr:colOff>862780</xdr:colOff>
      <xdr:row>64</xdr:row>
      <xdr:rowOff>17767</xdr:rowOff>
    </xdr:from>
    <xdr:ext cx="4218287" cy="2845053"/>
    <xdr:graphicFrame macro="">
      <xdr:nvGraphicFramePr>
        <xdr:cNvPr id="13" name="Gráfico 21">
          <a:extLst>
            <a:ext uri="{FF2B5EF4-FFF2-40B4-BE49-F238E27FC236}">
              <a16:creationId xmlns:a16="http://schemas.microsoft.com/office/drawing/2014/main" id="{102EEDD7-86BA-4CAF-A14B-A195C520B1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oneCellAnchor>
  <xdr:oneCellAnchor>
    <xdr:from>
      <xdr:col>16</xdr:col>
      <xdr:colOff>400050</xdr:colOff>
      <xdr:row>4</xdr:row>
      <xdr:rowOff>171450</xdr:rowOff>
    </xdr:from>
    <xdr:ext cx="6198177" cy="3047996"/>
    <xdr:graphicFrame macro="">
      <xdr:nvGraphicFramePr>
        <xdr:cNvPr id="14" name="Gráfico 19">
          <a:extLst>
            <a:ext uri="{FF2B5EF4-FFF2-40B4-BE49-F238E27FC236}">
              <a16:creationId xmlns:a16="http://schemas.microsoft.com/office/drawing/2014/main" id="{C0D82C2F-3E1F-40EC-B542-0BED4FDA77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oneCellAnchor>
  <xdr:oneCellAnchor>
    <xdr:from>
      <xdr:col>16</xdr:col>
      <xdr:colOff>400050</xdr:colOff>
      <xdr:row>17</xdr:row>
      <xdr:rowOff>76203</xdr:rowOff>
    </xdr:from>
    <xdr:ext cx="6200217" cy="3562904"/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1323621C-1035-426A-A30B-736F0D2408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oneCellAnchor>
  <xdr:oneCellAnchor>
    <xdr:from>
      <xdr:col>16</xdr:col>
      <xdr:colOff>419096</xdr:colOff>
      <xdr:row>35</xdr:row>
      <xdr:rowOff>180978</xdr:rowOff>
    </xdr:from>
    <xdr:ext cx="7958132" cy="6310310"/>
    <xdr:graphicFrame macro="">
      <xdr:nvGraphicFramePr>
        <xdr:cNvPr id="16" name="Gráfico 23">
          <a:extLst>
            <a:ext uri="{FF2B5EF4-FFF2-40B4-BE49-F238E27FC236}">
              <a16:creationId xmlns:a16="http://schemas.microsoft.com/office/drawing/2014/main" id="{F3357CB6-1BBA-4115-87EB-3840A40900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oneCellAnchor>
  <xdr:twoCellAnchor>
    <xdr:from>
      <xdr:col>27</xdr:col>
      <xdr:colOff>45124</xdr:colOff>
      <xdr:row>31</xdr:row>
      <xdr:rowOff>112694</xdr:rowOff>
    </xdr:from>
    <xdr:to>
      <xdr:col>32</xdr:col>
      <xdr:colOff>336178</xdr:colOff>
      <xdr:row>47</xdr:row>
      <xdr:rowOff>33616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505C7B20-46E3-43C6-8749-D1E628ED8D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oneCellAnchor>
    <xdr:from>
      <xdr:col>37</xdr:col>
      <xdr:colOff>860612</xdr:colOff>
      <xdr:row>3</xdr:row>
      <xdr:rowOff>167070</xdr:rowOff>
    </xdr:from>
    <xdr:ext cx="4146817" cy="2623778"/>
    <xdr:graphicFrame macro="">
      <xdr:nvGraphicFramePr>
        <xdr:cNvPr id="18" name="Gráfico 1">
          <a:extLst>
            <a:ext uri="{FF2B5EF4-FFF2-40B4-BE49-F238E27FC236}">
              <a16:creationId xmlns:a16="http://schemas.microsoft.com/office/drawing/2014/main" id="{7D6BF78E-7057-424C-B359-CEB46DF1BF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17318</xdr:colOff>
      <xdr:row>3</xdr:row>
      <xdr:rowOff>173186</xdr:rowOff>
    </xdr:from>
    <xdr:ext cx="4706215" cy="2615906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D27F222D-643A-4C45-8BDC-55C9E89239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32</xdr:col>
      <xdr:colOff>452747</xdr:colOff>
      <xdr:row>3</xdr:row>
      <xdr:rowOff>169399</xdr:rowOff>
    </xdr:from>
    <xdr:ext cx="4639464" cy="2623778"/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B85DF3D1-CD6F-4432-A89B-9293276966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27</xdr:col>
      <xdr:colOff>6133</xdr:colOff>
      <xdr:row>14</xdr:row>
      <xdr:rowOff>163896</xdr:rowOff>
    </xdr:from>
    <xdr:ext cx="4727059" cy="3122141"/>
    <xdr:graphicFrame macro="">
      <xdr:nvGraphicFramePr>
        <xdr:cNvPr id="4" name="Gráfico 7">
          <a:extLst>
            <a:ext uri="{FF2B5EF4-FFF2-40B4-BE49-F238E27FC236}">
              <a16:creationId xmlns:a16="http://schemas.microsoft.com/office/drawing/2014/main" id="{CCD150C0-B0C1-448F-B20C-FD498D4D6E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32</xdr:col>
      <xdr:colOff>460242</xdr:colOff>
      <xdr:row>14</xdr:row>
      <xdr:rowOff>175751</xdr:rowOff>
    </xdr:from>
    <xdr:ext cx="4637314" cy="3099288"/>
    <xdr:graphicFrame macro="">
      <xdr:nvGraphicFramePr>
        <xdr:cNvPr id="5" name="Gráfico 8">
          <a:extLst>
            <a:ext uri="{FF2B5EF4-FFF2-40B4-BE49-F238E27FC236}">
              <a16:creationId xmlns:a16="http://schemas.microsoft.com/office/drawing/2014/main" id="{E8DE926B-0DF2-409E-9BAD-60391F7A3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32</xdr:col>
      <xdr:colOff>486715</xdr:colOff>
      <xdr:row>31</xdr:row>
      <xdr:rowOff>118784</xdr:rowOff>
    </xdr:from>
    <xdr:ext cx="4626430" cy="3130922"/>
    <xdr:graphicFrame macro="">
      <xdr:nvGraphicFramePr>
        <xdr:cNvPr id="6" name="Gráfico 13">
          <a:extLst>
            <a:ext uri="{FF2B5EF4-FFF2-40B4-BE49-F238E27FC236}">
              <a16:creationId xmlns:a16="http://schemas.microsoft.com/office/drawing/2014/main" id="{1A32229F-DCB8-4A7D-B9EC-C5F16FD46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37</xdr:col>
      <xdr:colOff>843571</xdr:colOff>
      <xdr:row>31</xdr:row>
      <xdr:rowOff>115766</xdr:rowOff>
    </xdr:from>
    <xdr:ext cx="4202585" cy="3122734"/>
    <xdr:graphicFrame macro="">
      <xdr:nvGraphicFramePr>
        <xdr:cNvPr id="7" name="Gráfico 15">
          <a:extLst>
            <a:ext uri="{FF2B5EF4-FFF2-40B4-BE49-F238E27FC236}">
              <a16:creationId xmlns:a16="http://schemas.microsoft.com/office/drawing/2014/main" id="{822AFB9F-D604-400E-BFE8-E0AA25102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27</xdr:col>
      <xdr:colOff>34472</xdr:colOff>
      <xdr:row>47</xdr:row>
      <xdr:rowOff>139831</xdr:rowOff>
    </xdr:from>
    <xdr:ext cx="4741635" cy="2840441"/>
    <xdr:graphicFrame macro="">
      <xdr:nvGraphicFramePr>
        <xdr:cNvPr id="8" name="Gráfico 16">
          <a:extLst>
            <a:ext uri="{FF2B5EF4-FFF2-40B4-BE49-F238E27FC236}">
              <a16:creationId xmlns:a16="http://schemas.microsoft.com/office/drawing/2014/main" id="{956C730F-B012-43C9-8508-5038AB2BF8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32</xdr:col>
      <xdr:colOff>484414</xdr:colOff>
      <xdr:row>47</xdr:row>
      <xdr:rowOff>147158</xdr:rowOff>
    </xdr:from>
    <xdr:ext cx="4642338" cy="2830189"/>
    <xdr:graphicFrame macro="">
      <xdr:nvGraphicFramePr>
        <xdr:cNvPr id="9" name="Gráfico 17">
          <a:extLst>
            <a:ext uri="{FF2B5EF4-FFF2-40B4-BE49-F238E27FC236}">
              <a16:creationId xmlns:a16="http://schemas.microsoft.com/office/drawing/2014/main" id="{3E7785D1-E6C3-47B5-A227-6C299A149B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37</xdr:col>
      <xdr:colOff>854647</xdr:colOff>
      <xdr:row>47</xdr:row>
      <xdr:rowOff>152287</xdr:rowOff>
    </xdr:from>
    <xdr:ext cx="4220817" cy="2827363"/>
    <xdr:graphicFrame macro="">
      <xdr:nvGraphicFramePr>
        <xdr:cNvPr id="10" name="Gráfico 18">
          <a:extLst>
            <a:ext uri="{FF2B5EF4-FFF2-40B4-BE49-F238E27FC236}">
              <a16:creationId xmlns:a16="http://schemas.microsoft.com/office/drawing/2014/main" id="{581978DF-161B-4418-8E3D-8B3B6949B1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27</xdr:col>
      <xdr:colOff>41475</xdr:colOff>
      <xdr:row>64</xdr:row>
      <xdr:rowOff>23505</xdr:rowOff>
    </xdr:from>
    <xdr:ext cx="4725827" cy="2848840"/>
    <xdr:graphicFrame macro="">
      <xdr:nvGraphicFramePr>
        <xdr:cNvPr id="11" name="Gráfico 19">
          <a:extLst>
            <a:ext uri="{FF2B5EF4-FFF2-40B4-BE49-F238E27FC236}">
              <a16:creationId xmlns:a16="http://schemas.microsoft.com/office/drawing/2014/main" id="{85C74E3F-1F1D-45C6-9999-8E0918D1E7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32</xdr:col>
      <xdr:colOff>501916</xdr:colOff>
      <xdr:row>64</xdr:row>
      <xdr:rowOff>19906</xdr:rowOff>
    </xdr:from>
    <xdr:ext cx="4624534" cy="2844158"/>
    <xdr:graphicFrame macro="">
      <xdr:nvGraphicFramePr>
        <xdr:cNvPr id="12" name="Gráfico 20">
          <a:extLst>
            <a:ext uri="{FF2B5EF4-FFF2-40B4-BE49-F238E27FC236}">
              <a16:creationId xmlns:a16="http://schemas.microsoft.com/office/drawing/2014/main" id="{490275D0-0A12-435B-B25E-538FE0F45E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  <xdr:oneCellAnchor>
    <xdr:from>
      <xdr:col>37</xdr:col>
      <xdr:colOff>862780</xdr:colOff>
      <xdr:row>64</xdr:row>
      <xdr:rowOff>17767</xdr:rowOff>
    </xdr:from>
    <xdr:ext cx="4218287" cy="2845053"/>
    <xdr:graphicFrame macro="">
      <xdr:nvGraphicFramePr>
        <xdr:cNvPr id="13" name="Gráfico 21">
          <a:extLst>
            <a:ext uri="{FF2B5EF4-FFF2-40B4-BE49-F238E27FC236}">
              <a16:creationId xmlns:a16="http://schemas.microsoft.com/office/drawing/2014/main" id="{EB50EA30-AE7A-475E-91B3-DBC9F24F2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oneCellAnchor>
  <xdr:oneCellAnchor>
    <xdr:from>
      <xdr:col>16</xdr:col>
      <xdr:colOff>400050</xdr:colOff>
      <xdr:row>4</xdr:row>
      <xdr:rowOff>171450</xdr:rowOff>
    </xdr:from>
    <xdr:ext cx="6198177" cy="3047996"/>
    <xdr:graphicFrame macro="">
      <xdr:nvGraphicFramePr>
        <xdr:cNvPr id="14" name="Gráfico 19">
          <a:extLst>
            <a:ext uri="{FF2B5EF4-FFF2-40B4-BE49-F238E27FC236}">
              <a16:creationId xmlns:a16="http://schemas.microsoft.com/office/drawing/2014/main" id="{370128FD-1236-4D36-BE2D-B1FAB75F8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oneCellAnchor>
  <xdr:oneCellAnchor>
    <xdr:from>
      <xdr:col>16</xdr:col>
      <xdr:colOff>400050</xdr:colOff>
      <xdr:row>17</xdr:row>
      <xdr:rowOff>76203</xdr:rowOff>
    </xdr:from>
    <xdr:ext cx="6200217" cy="3562904"/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EB6111BD-291B-4472-9B07-0B22473FFA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oneCellAnchor>
  <xdr:oneCellAnchor>
    <xdr:from>
      <xdr:col>16</xdr:col>
      <xdr:colOff>419096</xdr:colOff>
      <xdr:row>35</xdr:row>
      <xdr:rowOff>180978</xdr:rowOff>
    </xdr:from>
    <xdr:ext cx="7958132" cy="6310310"/>
    <xdr:graphicFrame macro="">
      <xdr:nvGraphicFramePr>
        <xdr:cNvPr id="16" name="Gráfico 23">
          <a:extLst>
            <a:ext uri="{FF2B5EF4-FFF2-40B4-BE49-F238E27FC236}">
              <a16:creationId xmlns:a16="http://schemas.microsoft.com/office/drawing/2014/main" id="{843FD067-D0D1-4A6E-BF85-CAAEFE7CF8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oneCellAnchor>
  <xdr:twoCellAnchor>
    <xdr:from>
      <xdr:col>27</xdr:col>
      <xdr:colOff>45124</xdr:colOff>
      <xdr:row>31</xdr:row>
      <xdr:rowOff>112694</xdr:rowOff>
    </xdr:from>
    <xdr:to>
      <xdr:col>32</xdr:col>
      <xdr:colOff>336178</xdr:colOff>
      <xdr:row>47</xdr:row>
      <xdr:rowOff>33616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425CBA7A-FFD4-4783-A981-E844FC4761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oneCellAnchor>
    <xdr:from>
      <xdr:col>37</xdr:col>
      <xdr:colOff>860612</xdr:colOff>
      <xdr:row>3</xdr:row>
      <xdr:rowOff>167070</xdr:rowOff>
    </xdr:from>
    <xdr:ext cx="4146817" cy="2623778"/>
    <xdr:graphicFrame macro="">
      <xdr:nvGraphicFramePr>
        <xdr:cNvPr id="18" name="Gráfico 1">
          <a:extLst>
            <a:ext uri="{FF2B5EF4-FFF2-40B4-BE49-F238E27FC236}">
              <a16:creationId xmlns:a16="http://schemas.microsoft.com/office/drawing/2014/main" id="{529487F0-4E2B-4DB4-86BF-405B65D77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17318</xdr:colOff>
      <xdr:row>1</xdr:row>
      <xdr:rowOff>28977</xdr:rowOff>
    </xdr:from>
    <xdr:ext cx="4646221" cy="2739487"/>
    <xdr:graphicFrame macro="">
      <xdr:nvGraphicFramePr>
        <xdr:cNvPr id="2" name="Gráfico 19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21</xdr:col>
      <xdr:colOff>791687</xdr:colOff>
      <xdr:row>1</xdr:row>
      <xdr:rowOff>29599</xdr:rowOff>
    </xdr:from>
    <xdr:ext cx="4646221" cy="2732062"/>
    <xdr:graphicFrame macro="">
      <xdr:nvGraphicFramePr>
        <xdr:cNvPr id="3" name="Gráfico 20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15</xdr:col>
      <xdr:colOff>819156</xdr:colOff>
      <xdr:row>63</xdr:row>
      <xdr:rowOff>12662</xdr:rowOff>
    </xdr:from>
    <xdr:ext cx="4646221" cy="2570021"/>
    <xdr:graphicFrame macro="">
      <xdr:nvGraphicFramePr>
        <xdr:cNvPr id="4" name="Gráfico 5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21</xdr:col>
      <xdr:colOff>806131</xdr:colOff>
      <xdr:row>63</xdr:row>
      <xdr:rowOff>3113</xdr:rowOff>
    </xdr:from>
    <xdr:ext cx="4636726" cy="2518065"/>
    <xdr:graphicFrame macro="">
      <xdr:nvGraphicFramePr>
        <xdr:cNvPr id="5" name="Gráfico 6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16</xdr:col>
      <xdr:colOff>0</xdr:colOff>
      <xdr:row>31</xdr:row>
      <xdr:rowOff>85267</xdr:rowOff>
    </xdr:from>
    <xdr:ext cx="4646221" cy="2743200"/>
    <xdr:graphicFrame macro="">
      <xdr:nvGraphicFramePr>
        <xdr:cNvPr id="6" name="Gráfico 7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21</xdr:col>
      <xdr:colOff>793854</xdr:colOff>
      <xdr:row>31</xdr:row>
      <xdr:rowOff>98252</xdr:rowOff>
    </xdr:from>
    <xdr:ext cx="4644054" cy="2743200"/>
    <xdr:graphicFrame macro="">
      <xdr:nvGraphicFramePr>
        <xdr:cNvPr id="7" name="Gráfico 8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21</xdr:col>
      <xdr:colOff>792931</xdr:colOff>
      <xdr:row>46</xdr:row>
      <xdr:rowOff>163285</xdr:rowOff>
    </xdr:from>
    <xdr:ext cx="4649926" cy="2748643"/>
    <xdr:graphicFrame macro="">
      <xdr:nvGraphicFramePr>
        <xdr:cNvPr id="8" name="Gráfico 14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15</xdr:col>
      <xdr:colOff>820140</xdr:colOff>
      <xdr:row>78</xdr:row>
      <xdr:rowOff>61767</xdr:rowOff>
    </xdr:from>
    <xdr:ext cx="4663537" cy="2743200"/>
    <xdr:graphicFrame macro="">
      <xdr:nvGraphicFramePr>
        <xdr:cNvPr id="9" name="Gráfico 16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21</xdr:col>
      <xdr:colOff>787483</xdr:colOff>
      <xdr:row>78</xdr:row>
      <xdr:rowOff>43837</xdr:rowOff>
    </xdr:from>
    <xdr:ext cx="4655373" cy="2816681"/>
    <xdr:graphicFrame macro="">
      <xdr:nvGraphicFramePr>
        <xdr:cNvPr id="10" name="Gráfico 17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16</xdr:col>
      <xdr:colOff>51739</xdr:colOff>
      <xdr:row>94</xdr:row>
      <xdr:rowOff>76096</xdr:rowOff>
    </xdr:from>
    <xdr:ext cx="4591211" cy="2707181"/>
    <xdr:graphicFrame macro="">
      <xdr:nvGraphicFramePr>
        <xdr:cNvPr id="11" name="Gráfico 19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21</xdr:col>
      <xdr:colOff>776117</xdr:colOff>
      <xdr:row>94</xdr:row>
      <xdr:rowOff>112117</xdr:rowOff>
    </xdr:from>
    <xdr:ext cx="4680347" cy="2707181"/>
    <xdr:graphicFrame macro="">
      <xdr:nvGraphicFramePr>
        <xdr:cNvPr id="12" name="Gráfico 20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  <xdr:oneCellAnchor>
    <xdr:from>
      <xdr:col>21</xdr:col>
      <xdr:colOff>765791</xdr:colOff>
      <xdr:row>110</xdr:row>
      <xdr:rowOff>97787</xdr:rowOff>
    </xdr:from>
    <xdr:ext cx="4694755" cy="2773319"/>
    <xdr:graphicFrame macro="">
      <xdr:nvGraphicFramePr>
        <xdr:cNvPr id="13" name="Gráfico 23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oneCellAnchor>
  <xdr:oneCellAnchor>
    <xdr:from>
      <xdr:col>16</xdr:col>
      <xdr:colOff>71742</xdr:colOff>
      <xdr:row>110</xdr:row>
      <xdr:rowOff>88973</xdr:rowOff>
    </xdr:from>
    <xdr:ext cx="4572000" cy="2782134"/>
    <xdr:graphicFrame macro="">
      <xdr:nvGraphicFramePr>
        <xdr:cNvPr id="14" name="Gráfico 18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oneCellAnchor>
  <xdr:oneCellAnchor>
    <xdr:from>
      <xdr:col>16</xdr:col>
      <xdr:colOff>990</xdr:colOff>
      <xdr:row>46</xdr:row>
      <xdr:rowOff>134379</xdr:rowOff>
    </xdr:from>
    <xdr:ext cx="4639046" cy="2747278"/>
    <xdr:graphicFrame macro="">
      <xdr:nvGraphicFramePr>
        <xdr:cNvPr id="15" name="Gráfico 19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oneCellAnchor>
  <xdr:oneCellAnchor>
    <xdr:from>
      <xdr:col>21</xdr:col>
      <xdr:colOff>782673</xdr:colOff>
      <xdr:row>15</xdr:row>
      <xdr:rowOff>163286</xdr:rowOff>
    </xdr:from>
    <xdr:ext cx="4646221" cy="2732062"/>
    <xdr:graphicFrame macro="">
      <xdr:nvGraphicFramePr>
        <xdr:cNvPr id="16" name="Gráfico 37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oneCellAnchor>
  <xdr:oneCellAnchor>
    <xdr:from>
      <xdr:col>16</xdr:col>
      <xdr:colOff>11477</xdr:colOff>
      <xdr:row>15</xdr:row>
      <xdr:rowOff>146038</xdr:rowOff>
    </xdr:from>
    <xdr:ext cx="4642165" cy="2752284"/>
    <xdr:graphicFrame macro="">
      <xdr:nvGraphicFramePr>
        <xdr:cNvPr id="17" name="Gráfico 38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51955</xdr:colOff>
      <xdr:row>4</xdr:row>
      <xdr:rowOff>0</xdr:rowOff>
    </xdr:from>
    <xdr:ext cx="5957454" cy="3030682"/>
    <xdr:graphicFrame macro="">
      <xdr:nvGraphicFramePr>
        <xdr:cNvPr id="5" name="Gráfico 19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</xdr:col>
      <xdr:colOff>51956</xdr:colOff>
      <xdr:row>21</xdr:row>
      <xdr:rowOff>103908</xdr:rowOff>
    </xdr:from>
    <xdr:ext cx="5962402" cy="3981146"/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8</xdr:col>
      <xdr:colOff>242455</xdr:colOff>
      <xdr:row>4</xdr:row>
      <xdr:rowOff>1</xdr:rowOff>
    </xdr:from>
    <xdr:ext cx="7958132" cy="7070912"/>
    <xdr:graphicFrame macro="">
      <xdr:nvGraphicFramePr>
        <xdr:cNvPr id="7" name="Gráfico 23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ORES">
  <a:themeElements>
    <a:clrScheme name="CORES">
      <a:dk1>
        <a:srgbClr val="000000"/>
      </a:dk1>
      <a:lt1>
        <a:srgbClr val="FFFFFF"/>
      </a:lt1>
      <a:dk2>
        <a:srgbClr val="CD2D00"/>
      </a:dk2>
      <a:lt2>
        <a:srgbClr val="F0EFEC"/>
      </a:lt2>
      <a:accent1>
        <a:srgbClr val="CD2D00"/>
      </a:accent1>
      <a:accent2>
        <a:srgbClr val="C19E76"/>
      </a:accent2>
      <a:accent3>
        <a:srgbClr val="5F8EA9"/>
      </a:accent3>
      <a:accent4>
        <a:srgbClr val="A59076"/>
      </a:accent4>
      <a:accent5>
        <a:srgbClr val="86AEC4"/>
      </a:accent5>
      <a:accent6>
        <a:srgbClr val="C2BDB5"/>
      </a:accent6>
      <a:hlink>
        <a:srgbClr val="812411"/>
      </a:hlink>
      <a:folHlink>
        <a:srgbClr val="671C0D"/>
      </a:folHlink>
    </a:clrScheme>
    <a:fontScheme name="Clásico de Office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41"/>
  <sheetViews>
    <sheetView showGridLines="0" tabSelected="1" zoomScaleNormal="100" workbookViewId="0">
      <selection activeCell="K13" sqref="K13"/>
    </sheetView>
  </sheetViews>
  <sheetFormatPr baseColWidth="10" defaultColWidth="10" defaultRowHeight="0" customHeight="1" zeroHeight="1" x14ac:dyDescent="0.2"/>
  <cols>
    <col min="1" max="7" width="10" style="48" customWidth="1"/>
    <col min="8" max="8" width="10" style="49" customWidth="1"/>
    <col min="9" max="16384" width="10" style="49"/>
  </cols>
  <sheetData>
    <row r="1" spans="2:256" ht="14.25" x14ac:dyDescent="0.2"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  <c r="IT1" s="48"/>
      <c r="IU1" s="48"/>
      <c r="IV1" s="48"/>
    </row>
    <row r="2" spans="2:256" ht="14.25" x14ac:dyDescent="0.2"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  <c r="IT2" s="48"/>
      <c r="IU2" s="48"/>
      <c r="IV2" s="48"/>
    </row>
    <row r="3" spans="2:256" ht="14.25" x14ac:dyDescent="0.2"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  <c r="IS3" s="48"/>
      <c r="IT3" s="48"/>
      <c r="IU3" s="48"/>
      <c r="IV3" s="48"/>
    </row>
    <row r="4" spans="2:256" ht="14.25" x14ac:dyDescent="0.2"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  <c r="IT4" s="48"/>
      <c r="IU4" s="48"/>
      <c r="IV4" s="48"/>
    </row>
    <row r="5" spans="2:256" ht="14.25" x14ac:dyDescent="0.2"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  <c r="IU5" s="48"/>
      <c r="IV5" s="48"/>
    </row>
    <row r="6" spans="2:256" ht="14.25" x14ac:dyDescent="0.2"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  <c r="IU6" s="48"/>
      <c r="IV6" s="48"/>
    </row>
    <row r="7" spans="2:256" ht="14.25" x14ac:dyDescent="0.2"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  <c r="IU7" s="48"/>
      <c r="IV7" s="48"/>
    </row>
    <row r="8" spans="2:256" ht="14.25" x14ac:dyDescent="0.2"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</row>
    <row r="9" spans="2:256" ht="14.25" x14ac:dyDescent="0.2"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  <c r="IU9" s="48"/>
      <c r="IV9" s="48"/>
    </row>
    <row r="10" spans="2:256" ht="15" x14ac:dyDescent="0.25">
      <c r="F10" s="50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  <c r="IU10" s="48"/>
      <c r="IV10" s="48"/>
    </row>
    <row r="11" spans="2:256" ht="15" x14ac:dyDescent="0.25">
      <c r="F11" s="50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  <c r="IV11" s="48"/>
    </row>
    <row r="12" spans="2:256" ht="14.25" x14ac:dyDescent="0.2"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  <c r="IT12" s="48"/>
      <c r="IU12" s="48"/>
      <c r="IV12" s="48"/>
    </row>
    <row r="13" spans="2:256" ht="30" customHeight="1" x14ac:dyDescent="0.2">
      <c r="B13" s="93" t="s">
        <v>59</v>
      </c>
      <c r="C13" s="93"/>
      <c r="D13" s="93"/>
      <c r="E13" s="93"/>
      <c r="F13" s="93"/>
      <c r="G13" s="93"/>
      <c r="H13" s="93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  <c r="IT13" s="48"/>
      <c r="IU13" s="48"/>
      <c r="IV13" s="48"/>
    </row>
    <row r="14" spans="2:256" ht="36.75" customHeight="1" x14ac:dyDescent="0.2">
      <c r="B14" s="93"/>
      <c r="C14" s="93"/>
      <c r="D14" s="93"/>
      <c r="E14" s="93"/>
      <c r="F14" s="93"/>
      <c r="G14" s="93"/>
      <c r="H14" s="93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</row>
    <row r="15" spans="2:256" ht="36.75" customHeight="1" x14ac:dyDescent="0.4">
      <c r="B15" s="51"/>
      <c r="C15" s="51"/>
      <c r="D15" s="51"/>
      <c r="E15" s="51"/>
      <c r="F15" s="51"/>
      <c r="G15" s="51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  <c r="IT15" s="48"/>
      <c r="IU15" s="48"/>
      <c r="IV15" s="48"/>
    </row>
    <row r="16" spans="2:256" ht="12.75" customHeight="1" x14ac:dyDescent="0.2">
      <c r="B16" s="94" t="str">
        <f>'2026'!AV3</f>
        <v>MAYO 2026</v>
      </c>
      <c r="C16" s="94"/>
      <c r="D16" s="94"/>
      <c r="E16" s="94"/>
      <c r="F16" s="94"/>
      <c r="G16" s="94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  <c r="IT16" s="48"/>
      <c r="IU16" s="48"/>
      <c r="IV16" s="48"/>
    </row>
    <row r="17" spans="2:256" ht="12.75" customHeight="1" x14ac:dyDescent="0.2">
      <c r="B17" s="94"/>
      <c r="C17" s="94"/>
      <c r="D17" s="94"/>
      <c r="E17" s="94"/>
      <c r="F17" s="94"/>
      <c r="G17" s="94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</row>
    <row r="18" spans="2:256" ht="14.25" customHeight="1" x14ac:dyDescent="0.2">
      <c r="B18" s="94"/>
      <c r="C18" s="94"/>
      <c r="D18" s="94"/>
      <c r="E18" s="94"/>
      <c r="F18" s="94"/>
      <c r="G18" s="94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  <c r="IS18" s="48"/>
      <c r="IT18" s="48"/>
      <c r="IU18" s="48"/>
      <c r="IV18" s="48"/>
    </row>
    <row r="19" spans="2:256" ht="14.25" x14ac:dyDescent="0.2">
      <c r="B19" s="52"/>
      <c r="C19" s="52"/>
      <c r="D19" s="52"/>
      <c r="E19" s="52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48"/>
      <c r="IF19" s="48"/>
      <c r="IG19" s="48"/>
      <c r="IH19" s="48"/>
      <c r="II19" s="48"/>
      <c r="IJ19" s="48"/>
      <c r="IK19" s="48"/>
      <c r="IL19" s="48"/>
      <c r="IM19" s="48"/>
      <c r="IN19" s="48"/>
      <c r="IO19" s="48"/>
      <c r="IP19" s="48"/>
      <c r="IQ19" s="48"/>
      <c r="IR19" s="48"/>
      <c r="IS19" s="48"/>
      <c r="IT19" s="48"/>
      <c r="IU19" s="48"/>
      <c r="IV19" s="48"/>
    </row>
    <row r="20" spans="2:256" ht="14.25" x14ac:dyDescent="0.2">
      <c r="B20" s="52"/>
      <c r="C20" s="52"/>
      <c r="D20" s="52"/>
      <c r="E20" s="52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</row>
    <row r="21" spans="2:256" ht="14.25" x14ac:dyDescent="0.2">
      <c r="B21" s="52"/>
      <c r="C21" s="52"/>
      <c r="D21" s="52"/>
      <c r="E21" s="52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48"/>
      <c r="IF21" s="48"/>
      <c r="IG21" s="48"/>
      <c r="IH21" s="48"/>
      <c r="II21" s="48"/>
      <c r="IJ21" s="48"/>
      <c r="IK21" s="48"/>
      <c r="IL21" s="48"/>
      <c r="IM21" s="48"/>
      <c r="IN21" s="48"/>
      <c r="IO21" s="48"/>
      <c r="IP21" s="48"/>
      <c r="IQ21" s="48"/>
      <c r="IR21" s="48"/>
      <c r="IS21" s="48"/>
      <c r="IT21" s="48"/>
      <c r="IU21" s="48"/>
      <c r="IV21" s="48"/>
    </row>
    <row r="22" spans="2:256" ht="14.25" x14ac:dyDescent="0.2">
      <c r="B22" s="52"/>
      <c r="C22" s="52"/>
      <c r="D22" s="52"/>
      <c r="E22" s="52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  <c r="IU22" s="48"/>
      <c r="IV22" s="48"/>
    </row>
    <row r="23" spans="2:256" ht="14.25" x14ac:dyDescent="0.2">
      <c r="B23" s="52"/>
      <c r="C23" s="52"/>
      <c r="D23" s="52"/>
      <c r="E23" s="52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48"/>
      <c r="IF23" s="48"/>
      <c r="IG23" s="48"/>
      <c r="IH23" s="48"/>
      <c r="II23" s="48"/>
      <c r="IJ23" s="48"/>
      <c r="IK23" s="48"/>
      <c r="IL23" s="48"/>
      <c r="IM23" s="48"/>
      <c r="IN23" s="48"/>
      <c r="IO23" s="48"/>
      <c r="IP23" s="48"/>
      <c r="IQ23" s="48"/>
      <c r="IR23" s="48"/>
      <c r="IS23" s="48"/>
      <c r="IT23" s="48"/>
      <c r="IU23" s="48"/>
      <c r="IV23" s="48"/>
    </row>
    <row r="24" spans="2:256" ht="14.25" x14ac:dyDescent="0.2">
      <c r="B24" s="52"/>
      <c r="C24" s="52"/>
      <c r="D24" s="52"/>
      <c r="E24" s="52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  <c r="IT24" s="48"/>
      <c r="IU24" s="48"/>
      <c r="IV24" s="48"/>
    </row>
    <row r="25" spans="2:256" ht="14.25" x14ac:dyDescent="0.2">
      <c r="B25" s="52"/>
      <c r="C25" s="52"/>
      <c r="D25" s="52"/>
      <c r="E25" s="52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48"/>
      <c r="IM25" s="48"/>
      <c r="IN25" s="48"/>
      <c r="IO25" s="48"/>
      <c r="IP25" s="48"/>
      <c r="IQ25" s="48"/>
      <c r="IR25" s="48"/>
      <c r="IS25" s="48"/>
      <c r="IT25" s="48"/>
      <c r="IU25" s="48"/>
      <c r="IV25" s="48"/>
    </row>
    <row r="26" spans="2:256" ht="14.25" x14ac:dyDescent="0.2">
      <c r="B26" s="52"/>
      <c r="C26" s="52"/>
      <c r="D26" s="52"/>
      <c r="E26" s="52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48"/>
      <c r="IF26" s="48"/>
      <c r="IG26" s="48"/>
      <c r="IH26" s="48"/>
      <c r="II26" s="48"/>
      <c r="IJ26" s="48"/>
      <c r="IK26" s="48"/>
      <c r="IL26" s="48"/>
      <c r="IM26" s="48"/>
      <c r="IN26" s="48"/>
      <c r="IO26" s="48"/>
      <c r="IP26" s="48"/>
      <c r="IQ26" s="48"/>
      <c r="IR26" s="48"/>
      <c r="IS26" s="48"/>
      <c r="IT26" s="48"/>
      <c r="IU26" s="48"/>
      <c r="IV26" s="48"/>
    </row>
    <row r="27" spans="2:256" ht="20.25" customHeight="1" x14ac:dyDescent="0.2">
      <c r="B27" s="52"/>
      <c r="C27" s="52"/>
      <c r="D27" s="52"/>
      <c r="E27" s="52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48"/>
      <c r="IF27" s="48"/>
      <c r="IG27" s="48"/>
      <c r="IH27" s="48"/>
      <c r="II27" s="48"/>
      <c r="IJ27" s="48"/>
      <c r="IK27" s="48"/>
      <c r="IL27" s="48"/>
      <c r="IM27" s="48"/>
      <c r="IN27" s="48"/>
      <c r="IO27" s="48"/>
      <c r="IP27" s="48"/>
      <c r="IQ27" s="48"/>
      <c r="IR27" s="48"/>
      <c r="IS27" s="48"/>
      <c r="IT27" s="48"/>
      <c r="IU27" s="48"/>
      <c r="IV27" s="48"/>
    </row>
    <row r="28" spans="2:256" ht="14.25" x14ac:dyDescent="0.2"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48"/>
      <c r="IJ28" s="48"/>
      <c r="IK28" s="48"/>
      <c r="IL28" s="48"/>
      <c r="IM28" s="48"/>
      <c r="IN28" s="48"/>
      <c r="IO28" s="48"/>
      <c r="IP28" s="48"/>
      <c r="IQ28" s="48"/>
      <c r="IR28" s="48"/>
      <c r="IS28" s="48"/>
      <c r="IT28" s="48"/>
      <c r="IU28" s="48"/>
      <c r="IV28" s="48"/>
    </row>
    <row r="29" spans="2:256" ht="14.25" x14ac:dyDescent="0.2"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48"/>
      <c r="IF29" s="48"/>
      <c r="IG29" s="48"/>
      <c r="IH29" s="48"/>
      <c r="II29" s="48"/>
      <c r="IJ29" s="48"/>
      <c r="IK29" s="48"/>
      <c r="IL29" s="48"/>
      <c r="IM29" s="48"/>
      <c r="IN29" s="48"/>
      <c r="IO29" s="48"/>
      <c r="IP29" s="48"/>
      <c r="IQ29" s="48"/>
      <c r="IR29" s="48"/>
      <c r="IS29" s="48"/>
      <c r="IT29" s="48"/>
      <c r="IU29" s="48"/>
      <c r="IV29" s="48"/>
    </row>
    <row r="30" spans="2:256" ht="14.25" x14ac:dyDescent="0.2"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  <c r="IQ30" s="48"/>
      <c r="IR30" s="48"/>
      <c r="IS30" s="48"/>
      <c r="IT30" s="48"/>
      <c r="IU30" s="48"/>
      <c r="IV30" s="48"/>
    </row>
    <row r="31" spans="2:256" ht="14.25" x14ac:dyDescent="0.2"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  <c r="IQ31" s="48"/>
      <c r="IR31" s="48"/>
      <c r="IS31" s="48"/>
      <c r="IT31" s="48"/>
      <c r="IU31" s="48"/>
      <c r="IV31" s="48"/>
    </row>
    <row r="32" spans="2:256" ht="14.25" x14ac:dyDescent="0.2"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  <c r="IQ32" s="48"/>
      <c r="IR32" s="48"/>
      <c r="IS32" s="48"/>
      <c r="IT32" s="48"/>
      <c r="IU32" s="48"/>
      <c r="IV32" s="48"/>
    </row>
    <row r="33" spans="1:256" ht="14.25" x14ac:dyDescent="0.2"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  <c r="IQ33" s="48"/>
      <c r="IR33" s="48"/>
      <c r="IS33" s="48"/>
      <c r="IT33" s="48"/>
      <c r="IU33" s="48"/>
      <c r="IV33" s="48"/>
    </row>
    <row r="34" spans="1:256" ht="19.5" customHeight="1" x14ac:dyDescent="0.2">
      <c r="A34" s="95" t="s">
        <v>67</v>
      </c>
      <c r="B34" s="95"/>
      <c r="C34" s="95"/>
      <c r="D34" s="95"/>
      <c r="E34" s="95"/>
      <c r="F34" s="95"/>
      <c r="G34" s="95"/>
      <c r="H34" s="95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48"/>
      <c r="IF34" s="48"/>
      <c r="IG34" s="48"/>
      <c r="IH34" s="48"/>
      <c r="II34" s="48"/>
      <c r="IJ34" s="48"/>
      <c r="IK34" s="48"/>
      <c r="IL34" s="48"/>
      <c r="IM34" s="48"/>
      <c r="IN34" s="48"/>
      <c r="IO34" s="48"/>
      <c r="IP34" s="48"/>
      <c r="IQ34" s="48"/>
      <c r="IR34" s="48"/>
      <c r="IS34" s="48"/>
      <c r="IT34" s="48"/>
      <c r="IU34" s="48"/>
      <c r="IV34" s="48"/>
    </row>
    <row r="35" spans="1:256" ht="14.25" x14ac:dyDescent="0.2"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48"/>
      <c r="IF35" s="48"/>
      <c r="IG35" s="48"/>
      <c r="IH35" s="48"/>
      <c r="II35" s="48"/>
      <c r="IJ35" s="48"/>
      <c r="IK35" s="48"/>
      <c r="IL35" s="48"/>
      <c r="IM35" s="48"/>
      <c r="IN35" s="48"/>
      <c r="IO35" s="48"/>
      <c r="IP35" s="48"/>
      <c r="IQ35" s="48"/>
      <c r="IR35" s="48"/>
      <c r="IS35" s="48"/>
      <c r="IT35" s="48"/>
      <c r="IU35" s="48"/>
      <c r="IV35" s="48"/>
    </row>
    <row r="36" spans="1:256" ht="14.25" x14ac:dyDescent="0.2"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48"/>
      <c r="IM36" s="48"/>
      <c r="IN36" s="48"/>
      <c r="IO36" s="48"/>
      <c r="IP36" s="48"/>
      <c r="IQ36" s="48"/>
      <c r="IR36" s="48"/>
      <c r="IS36" s="48"/>
      <c r="IT36" s="48"/>
      <c r="IU36" s="48"/>
      <c r="IV36" s="48"/>
    </row>
    <row r="37" spans="1:256" ht="14.25" x14ac:dyDescent="0.2"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48"/>
      <c r="IF37" s="48"/>
      <c r="IG37" s="48"/>
      <c r="IH37" s="48"/>
      <c r="II37" s="48"/>
      <c r="IJ37" s="48"/>
      <c r="IK37" s="48"/>
      <c r="IL37" s="48"/>
      <c r="IM37" s="48"/>
      <c r="IN37" s="48"/>
      <c r="IO37" s="48"/>
      <c r="IP37" s="48"/>
      <c r="IQ37" s="48"/>
      <c r="IR37" s="48"/>
      <c r="IS37" s="48"/>
      <c r="IT37" s="48"/>
      <c r="IU37" s="48"/>
      <c r="IV37" s="48"/>
    </row>
    <row r="38" spans="1:256" ht="14.25" x14ac:dyDescent="0.2"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48"/>
      <c r="IF38" s="48"/>
      <c r="IG38" s="48"/>
      <c r="IH38" s="48"/>
      <c r="II38" s="48"/>
      <c r="IJ38" s="48"/>
      <c r="IK38" s="48"/>
      <c r="IL38" s="48"/>
      <c r="IM38" s="48"/>
      <c r="IN38" s="48"/>
      <c r="IO38" s="48"/>
      <c r="IP38" s="48"/>
      <c r="IQ38" s="48"/>
      <c r="IR38" s="48"/>
      <c r="IS38" s="48"/>
      <c r="IT38" s="48"/>
      <c r="IU38" s="48"/>
      <c r="IV38" s="48"/>
    </row>
    <row r="39" spans="1:256" ht="14.25" x14ac:dyDescent="0.2"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48"/>
      <c r="IF39" s="48"/>
      <c r="IG39" s="48"/>
      <c r="IH39" s="48"/>
      <c r="II39" s="48"/>
      <c r="IJ39" s="48"/>
      <c r="IK39" s="48"/>
      <c r="IL39" s="48"/>
      <c r="IM39" s="48"/>
      <c r="IN39" s="48"/>
      <c r="IO39" s="48"/>
      <c r="IP39" s="48"/>
      <c r="IQ39" s="48"/>
      <c r="IR39" s="48"/>
      <c r="IS39" s="48"/>
      <c r="IT39" s="48"/>
      <c r="IU39" s="48"/>
      <c r="IV39" s="48"/>
    </row>
    <row r="40" spans="1:256" ht="14.25" x14ac:dyDescent="0.2"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48"/>
      <c r="IF40" s="48"/>
      <c r="IG40" s="48"/>
      <c r="IH40" s="48"/>
      <c r="II40" s="48"/>
      <c r="IJ40" s="48"/>
      <c r="IK40" s="48"/>
      <c r="IL40" s="48"/>
      <c r="IM40" s="48"/>
      <c r="IN40" s="48"/>
      <c r="IO40" s="48"/>
      <c r="IP40" s="48"/>
      <c r="IQ40" s="48"/>
      <c r="IR40" s="48"/>
      <c r="IS40" s="48"/>
      <c r="IT40" s="48"/>
      <c r="IU40" s="48"/>
      <c r="IV40" s="48"/>
    </row>
    <row r="41" spans="1:256" ht="14.25" x14ac:dyDescent="0.2"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8"/>
      <c r="FX41" s="48"/>
      <c r="FY41" s="48"/>
      <c r="FZ41" s="48"/>
      <c r="GA41" s="48"/>
      <c r="GB41" s="48"/>
      <c r="GC41" s="48"/>
      <c r="GD41" s="48"/>
      <c r="GE41" s="48"/>
      <c r="GF41" s="48"/>
      <c r="GG41" s="48"/>
      <c r="GH41" s="48"/>
      <c r="GI41" s="48"/>
      <c r="GJ41" s="48"/>
      <c r="GK41" s="48"/>
      <c r="GL41" s="48"/>
      <c r="GM41" s="48"/>
      <c r="GN41" s="48"/>
      <c r="GO41" s="48"/>
      <c r="GP41" s="48"/>
      <c r="GQ41" s="48"/>
      <c r="GR41" s="48"/>
      <c r="GS41" s="48"/>
      <c r="GT41" s="48"/>
      <c r="GU41" s="48"/>
      <c r="GV41" s="48"/>
      <c r="GW41" s="48"/>
      <c r="GX41" s="48"/>
      <c r="GY41" s="48"/>
      <c r="GZ41" s="48"/>
      <c r="HA41" s="48"/>
      <c r="HB41" s="48"/>
      <c r="HC41" s="48"/>
      <c r="HD41" s="48"/>
      <c r="HE41" s="48"/>
      <c r="HF41" s="48"/>
      <c r="HG41" s="48"/>
      <c r="HH41" s="48"/>
      <c r="HI41" s="48"/>
      <c r="HJ41" s="48"/>
      <c r="HK41" s="48"/>
      <c r="HL41" s="48"/>
      <c r="HM41" s="48"/>
      <c r="HN41" s="48"/>
      <c r="HO41" s="48"/>
      <c r="HP41" s="48"/>
      <c r="HQ41" s="48"/>
      <c r="HR41" s="48"/>
      <c r="HS41" s="48"/>
      <c r="HT41" s="48"/>
      <c r="HU41" s="48"/>
      <c r="HV41" s="48"/>
      <c r="HW41" s="48"/>
      <c r="HX41" s="48"/>
      <c r="HY41" s="48"/>
      <c r="HZ41" s="48"/>
      <c r="IA41" s="48"/>
      <c r="IB41" s="48"/>
      <c r="IC41" s="48"/>
      <c r="ID41" s="48"/>
      <c r="IE41" s="48"/>
      <c r="IF41" s="48"/>
      <c r="IG41" s="48"/>
      <c r="IH41" s="48"/>
      <c r="II41" s="48"/>
      <c r="IJ41" s="48"/>
      <c r="IK41" s="48"/>
      <c r="IL41" s="48"/>
      <c r="IM41" s="48"/>
      <c r="IN41" s="48"/>
      <c r="IO41" s="48"/>
      <c r="IP41" s="48"/>
      <c r="IQ41" s="48"/>
      <c r="IR41" s="48"/>
      <c r="IS41" s="48"/>
      <c r="IT41" s="48"/>
      <c r="IU41" s="48"/>
      <c r="IV41" s="48"/>
    </row>
  </sheetData>
  <mergeCells count="3">
    <mergeCell ref="B13:H14"/>
    <mergeCell ref="B16:G18"/>
    <mergeCell ref="A34:H34"/>
  </mergeCells>
  <printOptions horizontalCentered="1"/>
  <pageMargins left="0.70866141732283472" right="0.70866141732283472" top="0.94488188976377963" bottom="0.74803149606299213" header="0.31496062992125984" footer="0.31496062992125984"/>
  <pageSetup paperSize="9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C250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43831</v>
      </c>
      <c r="C4" s="13">
        <v>43862</v>
      </c>
      <c r="D4" s="13">
        <v>43891</v>
      </c>
      <c r="E4" s="13">
        <v>43922</v>
      </c>
      <c r="F4" s="13">
        <v>43952</v>
      </c>
      <c r="G4" s="13">
        <v>43983</v>
      </c>
      <c r="H4" s="13">
        <v>44013</v>
      </c>
      <c r="I4" s="14">
        <v>44044</v>
      </c>
      <c r="J4" s="14">
        <v>44075</v>
      </c>
      <c r="K4" s="14">
        <v>44105</v>
      </c>
      <c r="L4" s="13">
        <v>44136</v>
      </c>
      <c r="M4" s="13">
        <v>44166</v>
      </c>
      <c r="N4" s="15" t="s">
        <v>54</v>
      </c>
    </row>
    <row r="5" spans="1:28" s="21" customFormat="1" ht="21" customHeight="1" x14ac:dyDescent="0.2">
      <c r="A5" s="17" t="s">
        <v>0</v>
      </c>
      <c r="B5" s="18">
        <v>3.4620000000000002</v>
      </c>
      <c r="C5" s="19">
        <v>5.6589999999999998</v>
      </c>
      <c r="D5" s="19">
        <v>6.2030000000000003</v>
      </c>
      <c r="E5" s="19">
        <v>1.9670000000000001</v>
      </c>
      <c r="F5" s="19">
        <v>1.141</v>
      </c>
      <c r="G5" s="19">
        <v>1.569</v>
      </c>
      <c r="H5" s="19">
        <v>1.8260000000000001</v>
      </c>
      <c r="I5" s="45">
        <v>1.131</v>
      </c>
      <c r="J5" s="19">
        <v>1.1930000000000001</v>
      </c>
      <c r="K5" s="19">
        <v>1.159</v>
      </c>
      <c r="L5" s="19">
        <v>1.153</v>
      </c>
      <c r="M5" s="19">
        <v>1.073</v>
      </c>
      <c r="N5" s="20">
        <f>SUM(B5:M5)</f>
        <v>27.536000000000001</v>
      </c>
      <c r="P5" s="34"/>
      <c r="Q5" s="47"/>
    </row>
    <row r="6" spans="1:28" s="21" customFormat="1" ht="21" customHeight="1" x14ac:dyDescent="0.2">
      <c r="A6" s="22" t="s">
        <v>1</v>
      </c>
      <c r="B6" s="23">
        <v>5000</v>
      </c>
      <c r="C6" s="24">
        <v>4877</v>
      </c>
      <c r="D6" s="24">
        <v>5065</v>
      </c>
      <c r="E6" s="24">
        <v>5155</v>
      </c>
      <c r="F6" s="24">
        <v>3729</v>
      </c>
      <c r="G6" s="24">
        <v>4018</v>
      </c>
      <c r="H6" s="24">
        <v>4535</v>
      </c>
      <c r="I6" s="24">
        <v>4750</v>
      </c>
      <c r="J6" s="24">
        <v>4213</v>
      </c>
      <c r="K6" s="24">
        <v>4825</v>
      </c>
      <c r="L6" s="24">
        <v>4179</v>
      </c>
      <c r="M6" s="24">
        <v>4506</v>
      </c>
      <c r="N6" s="25">
        <f>SUM(B6:M6)</f>
        <v>54852</v>
      </c>
      <c r="P6" s="34"/>
      <c r="Q6" s="47"/>
    </row>
    <row r="7" spans="1:28" s="21" customFormat="1" ht="21" customHeight="1" x14ac:dyDescent="0.2">
      <c r="A7" s="26" t="s">
        <v>2</v>
      </c>
      <c r="B7" s="27">
        <v>84</v>
      </c>
      <c r="C7" s="28">
        <v>-20</v>
      </c>
      <c r="D7" s="28">
        <v>130</v>
      </c>
      <c r="E7" s="28">
        <v>-77</v>
      </c>
      <c r="F7" s="28">
        <v>-88</v>
      </c>
      <c r="G7" s="28">
        <v>56</v>
      </c>
      <c r="H7" s="28">
        <v>181</v>
      </c>
      <c r="I7" s="28">
        <v>259</v>
      </c>
      <c r="J7" s="28">
        <v>60</v>
      </c>
      <c r="K7" s="28">
        <v>-120</v>
      </c>
      <c r="L7" s="28">
        <v>100</v>
      </c>
      <c r="M7" s="28">
        <v>-21</v>
      </c>
      <c r="N7" s="29">
        <f t="shared" ref="N7:N49" si="0">SUM(B7:M7)</f>
        <v>544</v>
      </c>
      <c r="P7" s="34"/>
      <c r="Q7" s="47"/>
    </row>
    <row r="8" spans="1:28" s="21" customFormat="1" ht="21" customHeight="1" x14ac:dyDescent="0.2">
      <c r="A8" s="26" t="s">
        <v>3</v>
      </c>
      <c r="B8" s="27">
        <v>-351</v>
      </c>
      <c r="C8" s="28">
        <v>40</v>
      </c>
      <c r="D8" s="28">
        <v>-54</v>
      </c>
      <c r="E8" s="28">
        <v>805</v>
      </c>
      <c r="F8" s="28">
        <v>-824</v>
      </c>
      <c r="G8" s="28">
        <v>-43</v>
      </c>
      <c r="H8" s="28">
        <v>212</v>
      </c>
      <c r="I8" s="28">
        <v>178</v>
      </c>
      <c r="J8" s="28">
        <v>-249</v>
      </c>
      <c r="K8" s="28">
        <v>320</v>
      </c>
      <c r="L8" s="28">
        <v>-389</v>
      </c>
      <c r="M8" s="28">
        <v>84</v>
      </c>
      <c r="N8" s="29">
        <f t="shared" si="0"/>
        <v>-271</v>
      </c>
      <c r="P8" s="34"/>
      <c r="Q8" s="47"/>
    </row>
    <row r="9" spans="1:28" s="21" customFormat="1" ht="21" customHeight="1" x14ac:dyDescent="0.2">
      <c r="A9" s="26" t="s">
        <v>4</v>
      </c>
      <c r="B9" s="27">
        <v>-58</v>
      </c>
      <c r="C9" s="28">
        <v>4</v>
      </c>
      <c r="D9" s="28">
        <v>-28</v>
      </c>
      <c r="E9" s="28">
        <v>69</v>
      </c>
      <c r="F9" s="28">
        <v>-40</v>
      </c>
      <c r="G9" s="28">
        <v>-223</v>
      </c>
      <c r="H9" s="28">
        <v>36</v>
      </c>
      <c r="I9" s="28">
        <v>51</v>
      </c>
      <c r="J9" s="28">
        <v>63</v>
      </c>
      <c r="K9" s="28">
        <v>-123</v>
      </c>
      <c r="L9" s="28">
        <v>112</v>
      </c>
      <c r="M9" s="28">
        <v>-258</v>
      </c>
      <c r="N9" s="29">
        <f t="shared" si="0"/>
        <v>-395</v>
      </c>
      <c r="P9" s="34"/>
      <c r="Q9" s="47"/>
    </row>
    <row r="10" spans="1:28" s="21" customFormat="1" ht="21" customHeight="1" x14ac:dyDescent="0.2">
      <c r="A10" s="26" t="s">
        <v>5</v>
      </c>
      <c r="B10" s="27">
        <v>13</v>
      </c>
      <c r="C10" s="28">
        <v>31</v>
      </c>
      <c r="D10" s="28">
        <v>47</v>
      </c>
      <c r="E10" s="28">
        <v>155</v>
      </c>
      <c r="F10" s="28">
        <v>68</v>
      </c>
      <c r="G10" s="28">
        <v>46</v>
      </c>
      <c r="H10" s="28">
        <v>32</v>
      </c>
      <c r="I10" s="28">
        <v>62</v>
      </c>
      <c r="J10" s="28">
        <v>17</v>
      </c>
      <c r="K10" s="28">
        <v>16</v>
      </c>
      <c r="L10" s="28">
        <v>17</v>
      </c>
      <c r="M10" s="28">
        <v>21</v>
      </c>
      <c r="N10" s="29">
        <f t="shared" si="0"/>
        <v>525</v>
      </c>
      <c r="P10" s="34"/>
      <c r="Q10" s="47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47"/>
    </row>
    <row r="12" spans="1:28" s="31" customFormat="1" ht="21" customHeight="1" x14ac:dyDescent="0.2">
      <c r="A12" s="22" t="s">
        <v>7</v>
      </c>
      <c r="B12" s="24">
        <v>5509.4620000000004</v>
      </c>
      <c r="C12" s="24">
        <v>4849.6589999999997</v>
      </c>
      <c r="D12" s="24">
        <v>5330.2030000000004</v>
      </c>
      <c r="E12" s="24">
        <v>4360.9669999999996</v>
      </c>
      <c r="F12" s="24">
        <v>4574.1409999999996</v>
      </c>
      <c r="G12" s="24">
        <v>4387.5689999999995</v>
      </c>
      <c r="H12" s="24">
        <v>4501.826</v>
      </c>
      <c r="I12" s="24">
        <v>4843.1310000000003</v>
      </c>
      <c r="J12" s="24">
        <v>4477.1930000000002</v>
      </c>
      <c r="K12" s="24">
        <v>4525.1589999999997</v>
      </c>
      <c r="L12" s="24">
        <v>4574.1530000000002</v>
      </c>
      <c r="M12" s="24">
        <v>4681.0730000000003</v>
      </c>
      <c r="N12" s="25">
        <f>SUM(B12:M12)</f>
        <v>56614.535999999993</v>
      </c>
      <c r="P12" s="34"/>
      <c r="Q12" s="47"/>
    </row>
    <row r="13" spans="1:28" s="21" customFormat="1" ht="21" customHeight="1" x14ac:dyDescent="0.2">
      <c r="A13" s="26" t="s">
        <v>12</v>
      </c>
      <c r="B13" s="27">
        <v>5354</v>
      </c>
      <c r="C13" s="28">
        <v>4843</v>
      </c>
      <c r="D13" s="28">
        <v>5123</v>
      </c>
      <c r="E13" s="28">
        <v>4354</v>
      </c>
      <c r="F13" s="28">
        <v>4555</v>
      </c>
      <c r="G13" s="28">
        <v>4063</v>
      </c>
      <c r="H13" s="28">
        <v>4325</v>
      </c>
      <c r="I13" s="28">
        <v>4573</v>
      </c>
      <c r="J13" s="28">
        <v>4465</v>
      </c>
      <c r="K13" s="28">
        <v>4506</v>
      </c>
      <c r="L13" s="28">
        <v>4569</v>
      </c>
      <c r="M13" s="28">
        <v>4423</v>
      </c>
      <c r="N13" s="29">
        <f t="shared" si="0"/>
        <v>55153</v>
      </c>
      <c r="P13" s="34"/>
      <c r="Q13" s="47"/>
    </row>
    <row r="14" spans="1:28" s="21" customFormat="1" ht="21" customHeight="1" x14ac:dyDescent="0.2">
      <c r="A14" s="26" t="s">
        <v>8</v>
      </c>
      <c r="B14" s="27">
        <v>49</v>
      </c>
      <c r="C14" s="28">
        <v>64.27599999999893</v>
      </c>
      <c r="D14" s="28">
        <v>56</v>
      </c>
      <c r="E14" s="28">
        <v>33.164999999999964</v>
      </c>
      <c r="F14" s="28">
        <v>78</v>
      </c>
      <c r="G14" s="28">
        <v>25.11200000000008</v>
      </c>
      <c r="H14" s="28">
        <v>38.951999999999316</v>
      </c>
      <c r="I14" s="46">
        <v>56</v>
      </c>
      <c r="J14" s="28">
        <v>116.27899999999954</v>
      </c>
      <c r="K14" s="28">
        <v>78.942000000000007</v>
      </c>
      <c r="L14" s="28">
        <v>129.08899999999994</v>
      </c>
      <c r="M14" s="28">
        <v>82.503000000000611</v>
      </c>
      <c r="N14" s="29">
        <f t="shared" si="0"/>
        <v>807.31799999999839</v>
      </c>
      <c r="P14" s="36"/>
      <c r="Q14" s="4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J15" si="1">SUM(B16:B49)</f>
        <v>5460</v>
      </c>
      <c r="C15" s="24">
        <f t="shared" si="1"/>
        <v>4785.7240000000011</v>
      </c>
      <c r="D15" s="24">
        <f t="shared" si="1"/>
        <v>5274</v>
      </c>
      <c r="E15" s="24">
        <f t="shared" si="1"/>
        <v>4327.835</v>
      </c>
      <c r="F15" s="24">
        <f t="shared" si="1"/>
        <v>4496</v>
      </c>
      <c r="G15" s="24">
        <f t="shared" si="1"/>
        <v>4362.8879999999999</v>
      </c>
      <c r="H15" s="24">
        <f t="shared" si="1"/>
        <v>4463.0480000000007</v>
      </c>
      <c r="I15" s="24">
        <f t="shared" si="1"/>
        <v>4787</v>
      </c>
      <c r="J15" s="24">
        <f t="shared" si="1"/>
        <v>4360.7210000000005</v>
      </c>
      <c r="K15" s="24">
        <f>SUM(K16:K49)</f>
        <v>4446.058</v>
      </c>
      <c r="L15" s="24">
        <f>SUM(L16:L49)</f>
        <v>4444.9110000000001</v>
      </c>
      <c r="M15" s="24">
        <f>SUM(M16:M49)</f>
        <v>4598.4969999999994</v>
      </c>
      <c r="N15" s="25">
        <f t="shared" si="0"/>
        <v>55806.682000000001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159.655</v>
      </c>
      <c r="C16" s="2">
        <v>144.506</v>
      </c>
      <c r="D16" s="2">
        <v>167.48599999999999</v>
      </c>
      <c r="E16" s="2">
        <v>148.904</v>
      </c>
      <c r="F16" s="2">
        <v>198.94</v>
      </c>
      <c r="G16" s="2">
        <v>157.857</v>
      </c>
      <c r="H16" s="2">
        <v>158.17599999999999</v>
      </c>
      <c r="I16" s="2">
        <v>165.13200000000001</v>
      </c>
      <c r="J16" s="2">
        <v>153.922</v>
      </c>
      <c r="K16" s="2">
        <v>155.38200000000001</v>
      </c>
      <c r="L16" s="2">
        <v>141.922</v>
      </c>
      <c r="M16" s="2">
        <v>155.453</v>
      </c>
      <c r="N16" s="4">
        <f t="shared" si="0"/>
        <v>1907.335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83.444999999999993</v>
      </c>
      <c r="C18" s="2">
        <v>63.042999999999999</v>
      </c>
      <c r="D18" s="2">
        <v>62</v>
      </c>
      <c r="E18" s="2">
        <v>70</v>
      </c>
      <c r="F18" s="2">
        <v>70.778999999999996</v>
      </c>
      <c r="G18" s="2">
        <v>76.322999999999993</v>
      </c>
      <c r="H18" s="2">
        <v>56</v>
      </c>
      <c r="I18" s="2">
        <v>52</v>
      </c>
      <c r="J18" s="2">
        <v>51</v>
      </c>
      <c r="K18" s="2">
        <v>61</v>
      </c>
      <c r="L18" s="2">
        <v>107.985</v>
      </c>
      <c r="M18" s="2">
        <v>100.729</v>
      </c>
      <c r="N18" s="4">
        <f t="shared" si="0"/>
        <v>854.30399999999997</v>
      </c>
    </row>
    <row r="19" spans="1:29" ht="16.5" customHeight="1" x14ac:dyDescent="0.2">
      <c r="A19" s="9" t="s">
        <v>17</v>
      </c>
      <c r="B19" s="3">
        <v>30.555000000000007</v>
      </c>
      <c r="C19" s="2">
        <v>3.9570000000000007</v>
      </c>
      <c r="D19" s="2">
        <v>0</v>
      </c>
      <c r="E19" s="2">
        <v>0</v>
      </c>
      <c r="F19" s="2">
        <v>13.221000000000004</v>
      </c>
      <c r="G19" s="2">
        <v>12.677000000000007</v>
      </c>
      <c r="H19" s="2">
        <v>0</v>
      </c>
      <c r="I19" s="2">
        <v>0</v>
      </c>
      <c r="J19" s="2">
        <v>0</v>
      </c>
      <c r="K19" s="2">
        <v>0</v>
      </c>
      <c r="L19" s="2">
        <v>2.0150000000000006</v>
      </c>
      <c r="M19" s="2">
        <v>3.2710000000000008</v>
      </c>
      <c r="N19" s="4">
        <f t="shared" si="0"/>
        <v>65.696000000000026</v>
      </c>
    </row>
    <row r="20" spans="1:29" ht="16.5" customHeight="1" x14ac:dyDescent="0.2">
      <c r="A20" s="9" t="s">
        <v>18</v>
      </c>
      <c r="B20" s="3">
        <v>114</v>
      </c>
      <c r="C20" s="2">
        <v>122</v>
      </c>
      <c r="D20" s="2">
        <v>122</v>
      </c>
      <c r="E20" s="2">
        <v>129</v>
      </c>
      <c r="F20" s="2">
        <v>130</v>
      </c>
      <c r="G20" s="2">
        <v>127</v>
      </c>
      <c r="H20" s="2">
        <v>132</v>
      </c>
      <c r="I20" s="2">
        <v>129</v>
      </c>
      <c r="J20" s="2">
        <v>101</v>
      </c>
      <c r="K20" s="2">
        <v>70</v>
      </c>
      <c r="L20" s="2">
        <v>67</v>
      </c>
      <c r="M20" s="2">
        <v>66</v>
      </c>
      <c r="N20" s="4">
        <f t="shared" si="0"/>
        <v>1309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29" ht="16.5" customHeight="1" x14ac:dyDescent="0.2">
      <c r="A22" s="9" t="s">
        <v>20</v>
      </c>
      <c r="B22" s="3">
        <v>85.561999999999998</v>
      </c>
      <c r="C22" s="2">
        <v>86.222999999999999</v>
      </c>
      <c r="D22" s="2">
        <v>84.478999999999999</v>
      </c>
      <c r="E22" s="2">
        <v>79.793999999999997</v>
      </c>
      <c r="F22" s="2">
        <v>88.593999999999994</v>
      </c>
      <c r="G22" s="2">
        <v>90.638999999999996</v>
      </c>
      <c r="H22" s="2">
        <v>89.468999999999994</v>
      </c>
      <c r="I22" s="2">
        <v>79.757999999999996</v>
      </c>
      <c r="J22" s="2">
        <v>82.022999999999996</v>
      </c>
      <c r="K22" s="2">
        <v>88.335999999999999</v>
      </c>
      <c r="L22" s="2">
        <v>86.864999999999995</v>
      </c>
      <c r="M22" s="2">
        <v>111.43300000000001</v>
      </c>
      <c r="N22" s="4">
        <f t="shared" si="0"/>
        <v>1053.1750000000002</v>
      </c>
    </row>
    <row r="23" spans="1:29" ht="16.5" customHeight="1" x14ac:dyDescent="0.2">
      <c r="A23" s="9" t="s">
        <v>21</v>
      </c>
      <c r="B23" s="3">
        <v>8.782</v>
      </c>
      <c r="C23" s="2">
        <v>7.3360000000000003</v>
      </c>
      <c r="D23" s="2">
        <v>6.694</v>
      </c>
      <c r="E23" s="2">
        <v>0.99</v>
      </c>
      <c r="F23" s="2">
        <v>6.0279999999999996</v>
      </c>
      <c r="G23" s="2">
        <v>3.74</v>
      </c>
      <c r="H23" s="2">
        <v>3.6059999999999999</v>
      </c>
      <c r="I23" s="2">
        <v>5.96</v>
      </c>
      <c r="J23" s="2">
        <v>5.8789999999999996</v>
      </c>
      <c r="K23" s="2">
        <v>3.9140000000000001</v>
      </c>
      <c r="L23" s="2">
        <v>4.5739999999999998</v>
      </c>
      <c r="M23" s="2">
        <v>1.254</v>
      </c>
      <c r="N23" s="4">
        <f t="shared" si="0"/>
        <v>58.756999999999998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29" ht="16.5" customHeight="1" x14ac:dyDescent="0.2">
      <c r="A25" s="9" t="s">
        <v>23</v>
      </c>
      <c r="B25" s="3">
        <v>666.65599999999995</v>
      </c>
      <c r="C25" s="2">
        <v>526.44100000000003</v>
      </c>
      <c r="D25" s="2">
        <v>566.827</v>
      </c>
      <c r="E25" s="2">
        <v>483.21600000000001</v>
      </c>
      <c r="F25" s="2">
        <v>510.37799999999999</v>
      </c>
      <c r="G25" s="2">
        <v>506.62099999999998</v>
      </c>
      <c r="H25" s="2">
        <v>544.92499999999995</v>
      </c>
      <c r="I25" s="2">
        <v>614.28200000000004</v>
      </c>
      <c r="J25" s="2">
        <v>543.09799999999996</v>
      </c>
      <c r="K25" s="2">
        <v>600.75</v>
      </c>
      <c r="L25" s="2">
        <v>550.56100000000004</v>
      </c>
      <c r="M25" s="2">
        <v>597.71699999999998</v>
      </c>
      <c r="N25" s="4">
        <f t="shared" si="0"/>
        <v>6711.4719999999998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29" ht="16.5" customHeight="1" x14ac:dyDescent="0.2">
      <c r="A28" s="9" t="s">
        <v>26</v>
      </c>
      <c r="B28" s="3">
        <v>50.15</v>
      </c>
      <c r="C28" s="2">
        <v>45.906999999999996</v>
      </c>
      <c r="D28" s="2">
        <v>34.237000000000002</v>
      </c>
      <c r="E28" s="2">
        <v>0</v>
      </c>
      <c r="F28" s="2">
        <v>1.012</v>
      </c>
      <c r="G28" s="2">
        <v>0</v>
      </c>
      <c r="H28" s="2">
        <v>1.6180000000000001</v>
      </c>
      <c r="I28" s="2">
        <v>9.3569999999999993</v>
      </c>
      <c r="J28" s="2">
        <v>1.67</v>
      </c>
      <c r="K28" s="2">
        <v>3.754</v>
      </c>
      <c r="L28" s="2">
        <v>0.56399999999999995</v>
      </c>
      <c r="M28" s="2">
        <v>7.05</v>
      </c>
      <c r="N28" s="4">
        <f t="shared" si="0"/>
        <v>155.31899999999996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</row>
    <row r="30" spans="1:29" ht="16.5" customHeight="1" x14ac:dyDescent="0.2">
      <c r="A30" s="9" t="s">
        <v>28</v>
      </c>
      <c r="B30" s="3">
        <v>889.61300000000006</v>
      </c>
      <c r="C30" s="2">
        <v>746.27200000000005</v>
      </c>
      <c r="D30" s="2">
        <v>743</v>
      </c>
      <c r="E30" s="2">
        <v>627.92700000000002</v>
      </c>
      <c r="F30" s="2">
        <v>523.29100000000005</v>
      </c>
      <c r="G30" s="2">
        <v>556.80600000000004</v>
      </c>
      <c r="H30" s="2">
        <v>604</v>
      </c>
      <c r="I30" s="2">
        <v>661</v>
      </c>
      <c r="J30" s="2">
        <v>624</v>
      </c>
      <c r="K30" s="2">
        <v>621</v>
      </c>
      <c r="L30" s="2">
        <v>645</v>
      </c>
      <c r="M30" s="2">
        <v>596.59799999999996</v>
      </c>
      <c r="N30" s="4">
        <f t="shared" si="0"/>
        <v>7838.5070000000005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268.80900000000003</v>
      </c>
      <c r="C32" s="2">
        <v>260.65199999999999</v>
      </c>
      <c r="D32" s="2">
        <v>275.73700000000002</v>
      </c>
      <c r="E32" s="2">
        <v>271</v>
      </c>
      <c r="F32" s="2">
        <v>252.10499999999999</v>
      </c>
      <c r="G32" s="2">
        <v>260.23</v>
      </c>
      <c r="H32" s="2">
        <v>287</v>
      </c>
      <c r="I32" s="2">
        <v>312.60599999999999</v>
      </c>
      <c r="J32" s="2">
        <v>256.54199999999997</v>
      </c>
      <c r="K32" s="2">
        <v>266.779</v>
      </c>
      <c r="L32" s="2">
        <v>251</v>
      </c>
      <c r="M32" s="2">
        <v>262.40100000000001</v>
      </c>
      <c r="N32" s="4">
        <f t="shared" si="0"/>
        <v>3224.8609999999999</v>
      </c>
    </row>
    <row r="33" spans="1:14" ht="16.5" customHeight="1" x14ac:dyDescent="0.2">
      <c r="A33" s="9" t="s">
        <v>31</v>
      </c>
      <c r="B33" s="3">
        <v>38.479999999999997</v>
      </c>
      <c r="C33" s="2">
        <v>35.481000000000002</v>
      </c>
      <c r="D33" s="2">
        <v>24.295999999999999</v>
      </c>
      <c r="E33" s="2">
        <v>26.219000000000001</v>
      </c>
      <c r="F33" s="2">
        <v>35.137999999999998</v>
      </c>
      <c r="G33" s="2">
        <v>36.204000000000001</v>
      </c>
      <c r="H33" s="2">
        <v>36.598999999999997</v>
      </c>
      <c r="I33" s="2">
        <v>20.431000000000001</v>
      </c>
      <c r="J33" s="2">
        <v>26.992999999999999</v>
      </c>
      <c r="K33" s="2">
        <v>34.365000000000002</v>
      </c>
      <c r="L33" s="2">
        <v>25.295999999999999</v>
      </c>
      <c r="M33" s="2">
        <v>39.801000000000002</v>
      </c>
      <c r="N33" s="4">
        <f t="shared" si="0"/>
        <v>379.303</v>
      </c>
    </row>
    <row r="34" spans="1:14" ht="16.5" customHeight="1" x14ac:dyDescent="0.2">
      <c r="A34" s="9" t="s">
        <v>32</v>
      </c>
      <c r="B34" s="3">
        <v>9.56</v>
      </c>
      <c r="C34" s="2">
        <v>2.2349999999999999</v>
      </c>
      <c r="D34" s="2">
        <v>6.9859999999999998</v>
      </c>
      <c r="E34" s="2">
        <v>7.6070000000000002</v>
      </c>
      <c r="F34" s="2">
        <v>3.6509999999999998</v>
      </c>
      <c r="G34" s="2">
        <v>4.4400000000000004</v>
      </c>
      <c r="H34" s="2">
        <v>1.19</v>
      </c>
      <c r="I34" s="2">
        <v>0.83899999999999997</v>
      </c>
      <c r="J34" s="2">
        <v>4.75</v>
      </c>
      <c r="K34" s="2">
        <v>4.2649999999999997</v>
      </c>
      <c r="L34" s="2">
        <v>7.3129999999999997</v>
      </c>
      <c r="M34" s="2">
        <v>10.196999999999999</v>
      </c>
      <c r="N34" s="4">
        <f t="shared" si="0"/>
        <v>63.033000000000001</v>
      </c>
    </row>
    <row r="35" spans="1:14" ht="16.5" customHeight="1" x14ac:dyDescent="0.2">
      <c r="A35" s="9" t="s">
        <v>33</v>
      </c>
      <c r="B35" s="3">
        <v>74.207999999999998</v>
      </c>
      <c r="C35" s="2">
        <v>71.117999999999995</v>
      </c>
      <c r="D35" s="2">
        <v>75.489000000000004</v>
      </c>
      <c r="E35" s="2">
        <v>83.864999999999995</v>
      </c>
      <c r="F35" s="2">
        <v>74.731999999999999</v>
      </c>
      <c r="G35" s="2">
        <v>56.110999999999997</v>
      </c>
      <c r="H35" s="2">
        <v>70.918000000000006</v>
      </c>
      <c r="I35" s="2">
        <v>80.75</v>
      </c>
      <c r="J35" s="2">
        <v>80.063999999999993</v>
      </c>
      <c r="K35" s="2">
        <v>69.706000000000003</v>
      </c>
      <c r="L35" s="2">
        <v>79.402000000000001</v>
      </c>
      <c r="M35" s="2">
        <v>73.451999999999998</v>
      </c>
      <c r="N35" s="4">
        <f t="shared" si="0"/>
        <v>889.81500000000005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1869.9359999999999</v>
      </c>
      <c r="C37" s="2">
        <v>1696.729</v>
      </c>
      <c r="D37" s="2">
        <v>1913.5630000000001</v>
      </c>
      <c r="E37" s="2">
        <v>1505.9389999999999</v>
      </c>
      <c r="F37" s="2">
        <v>1558.329</v>
      </c>
      <c r="G37" s="2">
        <v>1553.5349999999999</v>
      </c>
      <c r="H37" s="2">
        <v>1529.6190000000001</v>
      </c>
      <c r="I37" s="2">
        <v>1719.325</v>
      </c>
      <c r="J37" s="2">
        <v>1501.6660000000002</v>
      </c>
      <c r="K37" s="2">
        <v>1607.077</v>
      </c>
      <c r="L37" s="2">
        <v>1566.5520000000001</v>
      </c>
      <c r="M37" s="2">
        <v>1670.472</v>
      </c>
      <c r="N37" s="4">
        <f t="shared" si="0"/>
        <v>19692.742000000002</v>
      </c>
    </row>
    <row r="38" spans="1:14" ht="16.5" customHeight="1" x14ac:dyDescent="0.2">
      <c r="A38" s="9" t="s">
        <v>36</v>
      </c>
      <c r="B38" s="3">
        <v>29.007000000000001</v>
      </c>
      <c r="C38" s="2">
        <v>12.785</v>
      </c>
      <c r="D38" s="2">
        <v>11.929</v>
      </c>
      <c r="E38" s="2">
        <v>4.37</v>
      </c>
      <c r="F38" s="2">
        <v>6.0449999999999999</v>
      </c>
      <c r="G38" s="2">
        <v>7.48</v>
      </c>
      <c r="H38" s="2">
        <v>10.673999999999999</v>
      </c>
      <c r="I38" s="2">
        <v>11.048999999999999</v>
      </c>
      <c r="J38" s="2">
        <v>8.9849999999999994</v>
      </c>
      <c r="K38" s="2">
        <v>7.8079999999999998</v>
      </c>
      <c r="L38" s="2">
        <v>7.4370000000000003</v>
      </c>
      <c r="M38" s="2">
        <v>6.6769999999999996</v>
      </c>
      <c r="N38" s="4">
        <f t="shared" si="0"/>
        <v>124.24600000000001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0</v>
      </c>
    </row>
    <row r="41" spans="1:14" ht="16.5" customHeight="1" x14ac:dyDescent="0.2">
      <c r="A41" s="9" t="s">
        <v>39</v>
      </c>
      <c r="B41" s="3">
        <v>12.936</v>
      </c>
      <c r="C41" s="2">
        <v>0.90500000000000003</v>
      </c>
      <c r="D41" s="2">
        <v>23.843</v>
      </c>
      <c r="E41" s="2">
        <v>0.57599999999999996</v>
      </c>
      <c r="F41" s="2">
        <v>4.3999999999999997E-2</v>
      </c>
      <c r="G41" s="2">
        <v>4.5999999999999999E-2</v>
      </c>
      <c r="H41" s="2">
        <v>0.224</v>
      </c>
      <c r="I41" s="2">
        <v>3.2000000000000001E-2</v>
      </c>
      <c r="J41" s="2">
        <v>4.1000000000000002E-2</v>
      </c>
      <c r="K41" s="2">
        <v>0.14299999999999999</v>
      </c>
      <c r="L41" s="2">
        <v>13.776</v>
      </c>
      <c r="M41" s="2">
        <v>22.678000000000001</v>
      </c>
      <c r="N41" s="4">
        <f t="shared" si="0"/>
        <v>75.243999999999986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332.06400000000002</v>
      </c>
      <c r="C43" s="2">
        <v>314.298</v>
      </c>
      <c r="D43" s="2">
        <v>352.15699999999998</v>
      </c>
      <c r="E43" s="2">
        <v>184.91900000000001</v>
      </c>
      <c r="F43" s="2">
        <v>172.267</v>
      </c>
      <c r="G43" s="2">
        <v>186.17400000000001</v>
      </c>
      <c r="H43" s="2">
        <v>231.62200000000001</v>
      </c>
      <c r="I43" s="2">
        <v>212.96799999999999</v>
      </c>
      <c r="J43" s="2">
        <v>96.087999999999994</v>
      </c>
      <c r="K43" s="2">
        <v>109.779</v>
      </c>
      <c r="L43" s="2">
        <v>78.649000000000001</v>
      </c>
      <c r="M43" s="2">
        <v>96.313999999999993</v>
      </c>
      <c r="N43" s="4">
        <f t="shared" si="0"/>
        <v>2367.299</v>
      </c>
    </row>
    <row r="44" spans="1:14" ht="16.5" customHeight="1" x14ac:dyDescent="0.2">
      <c r="A44" s="9" t="s">
        <v>41</v>
      </c>
      <c r="B44" s="3">
        <v>32.081000000000003</v>
      </c>
      <c r="C44" s="2">
        <v>24.17</v>
      </c>
      <c r="D44" s="2">
        <v>23.867000000000001</v>
      </c>
      <c r="E44" s="2">
        <v>22.928000000000001</v>
      </c>
      <c r="F44" s="2">
        <v>22.992000000000001</v>
      </c>
      <c r="G44" s="2">
        <v>24.634</v>
      </c>
      <c r="H44" s="2">
        <v>15.17</v>
      </c>
      <c r="I44" s="2">
        <v>27.440999999999999</v>
      </c>
      <c r="J44" s="2">
        <v>33.203000000000003</v>
      </c>
      <c r="K44" s="2">
        <v>29.5</v>
      </c>
      <c r="L44" s="2">
        <v>29.11</v>
      </c>
      <c r="M44" s="2">
        <v>31.492999999999999</v>
      </c>
      <c r="N44" s="4">
        <f t="shared" si="0"/>
        <v>316.589</v>
      </c>
    </row>
    <row r="45" spans="1:14" ht="16.5" customHeight="1" x14ac:dyDescent="0.2">
      <c r="A45" s="9" t="s">
        <v>42</v>
      </c>
      <c r="B45" s="3">
        <v>160.904</v>
      </c>
      <c r="C45" s="2">
        <v>129.67400000000001</v>
      </c>
      <c r="D45" s="2">
        <v>159.815</v>
      </c>
      <c r="E45" s="2">
        <v>118.827</v>
      </c>
      <c r="F45" s="2">
        <v>160.554</v>
      </c>
      <c r="G45" s="2">
        <v>182.49799999999999</v>
      </c>
      <c r="H45" s="2">
        <v>177.95500000000001</v>
      </c>
      <c r="I45" s="2">
        <v>164.68299999999999</v>
      </c>
      <c r="J45" s="2">
        <v>178.23099999999999</v>
      </c>
      <c r="K45" s="2">
        <v>177.34399999999999</v>
      </c>
      <c r="L45" s="2">
        <v>158.392</v>
      </c>
      <c r="M45" s="2">
        <v>138.77799999999999</v>
      </c>
      <c r="N45" s="4">
        <f t="shared" si="0"/>
        <v>1907.655</v>
      </c>
    </row>
    <row r="46" spans="1:14" ht="16.5" customHeight="1" x14ac:dyDescent="0.2">
      <c r="A46" s="9" t="s">
        <v>43</v>
      </c>
      <c r="B46" s="3">
        <v>15.957000000000001</v>
      </c>
      <c r="C46" s="2">
        <v>11.685</v>
      </c>
      <c r="D46" s="2">
        <v>15.032999999999999</v>
      </c>
      <c r="E46" s="2">
        <v>9.2799999999999994</v>
      </c>
      <c r="F46" s="2">
        <v>9.9350000000000005</v>
      </c>
      <c r="G46" s="2">
        <v>14.496</v>
      </c>
      <c r="H46" s="2">
        <v>7.91</v>
      </c>
      <c r="I46" s="2">
        <v>6.4340000000000002</v>
      </c>
      <c r="J46" s="2">
        <v>11.311</v>
      </c>
      <c r="K46" s="2">
        <v>9.34</v>
      </c>
      <c r="L46" s="2">
        <v>7.0650000000000004</v>
      </c>
      <c r="M46" s="2">
        <v>10.943</v>
      </c>
      <c r="N46" s="4">
        <f t="shared" si="0"/>
        <v>129.38900000000001</v>
      </c>
    </row>
    <row r="47" spans="1:14" ht="16.5" customHeight="1" x14ac:dyDescent="0.2">
      <c r="A47" s="9" t="s">
        <v>44</v>
      </c>
      <c r="B47" s="3">
        <v>7.9080000000000004</v>
      </c>
      <c r="C47" s="2">
        <v>6.3639999999999999</v>
      </c>
      <c r="D47" s="2">
        <v>6.33</v>
      </c>
      <c r="E47" s="2">
        <v>5.6120000000000001</v>
      </c>
      <c r="F47" s="2">
        <v>5.8550000000000004</v>
      </c>
      <c r="G47" s="2">
        <v>5.0970000000000004</v>
      </c>
      <c r="H47" s="2">
        <v>5.4359999999999999</v>
      </c>
      <c r="I47" s="2">
        <v>3.8919999999999999</v>
      </c>
      <c r="J47" s="2">
        <v>6.4240000000000004</v>
      </c>
      <c r="K47" s="2">
        <v>6.2210000000000001</v>
      </c>
      <c r="L47" s="2">
        <v>6.5650000000000004</v>
      </c>
      <c r="M47" s="2">
        <v>6.7569999999999997</v>
      </c>
      <c r="N47" s="4">
        <f t="shared" si="0"/>
        <v>72.461000000000013</v>
      </c>
    </row>
    <row r="48" spans="1:14" ht="16.5" customHeight="1" x14ac:dyDescent="0.2">
      <c r="A48" s="9" t="s">
        <v>45</v>
      </c>
      <c r="B48" s="3">
        <v>329.64299999999997</v>
      </c>
      <c r="C48" s="2">
        <v>284.83600000000001</v>
      </c>
      <c r="D48" s="2">
        <v>338.98899999999998</v>
      </c>
      <c r="E48" s="2">
        <v>275.50900000000001</v>
      </c>
      <c r="F48" s="2">
        <v>305.31599999999997</v>
      </c>
      <c r="G48" s="2">
        <v>275.005</v>
      </c>
      <c r="H48" s="2">
        <v>267.40800000000002</v>
      </c>
      <c r="I48" s="2">
        <v>280.185</v>
      </c>
      <c r="J48" s="2">
        <v>292</v>
      </c>
      <c r="K48" s="2">
        <v>295</v>
      </c>
      <c r="L48" s="2">
        <v>289</v>
      </c>
      <c r="M48" s="2">
        <v>296</v>
      </c>
      <c r="N48" s="4">
        <f t="shared" si="0"/>
        <v>3528.8910000000001</v>
      </c>
    </row>
    <row r="49" spans="1:14" ht="18" customHeight="1" x14ac:dyDescent="0.2">
      <c r="A49" s="10" t="s">
        <v>52</v>
      </c>
      <c r="B49" s="7">
        <v>190.08899999999903</v>
      </c>
      <c r="C49" s="5">
        <v>189.107</v>
      </c>
      <c r="D49" s="5">
        <v>259.24300000000039</v>
      </c>
      <c r="E49" s="5">
        <v>271.35300000000001</v>
      </c>
      <c r="F49" s="5">
        <v>346.79399999999987</v>
      </c>
      <c r="G49" s="5">
        <v>225.27499999999998</v>
      </c>
      <c r="H49" s="5">
        <v>231.529</v>
      </c>
      <c r="I49" s="5">
        <v>229.8760000000002</v>
      </c>
      <c r="J49" s="5">
        <v>301.83100000000002</v>
      </c>
      <c r="K49" s="5">
        <v>224.595</v>
      </c>
      <c r="L49" s="5">
        <v>318.86799999999999</v>
      </c>
      <c r="M49" s="5">
        <v>293.029</v>
      </c>
      <c r="N49" s="6">
        <f t="shared" si="0"/>
        <v>3081.5889999999995</v>
      </c>
    </row>
    <row r="50" spans="1:14" x14ac:dyDescent="0.2">
      <c r="F50" s="41"/>
    </row>
    <row r="51" spans="1:14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14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14" x14ac:dyDescent="0.2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</row>
    <row r="54" spans="1:14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14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14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14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14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14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14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14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14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14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14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C250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44197</v>
      </c>
      <c r="C4" s="13">
        <v>44228</v>
      </c>
      <c r="D4" s="13">
        <v>44256</v>
      </c>
      <c r="E4" s="13">
        <v>44287</v>
      </c>
      <c r="F4" s="13">
        <v>44317</v>
      </c>
      <c r="G4" s="13">
        <v>44348</v>
      </c>
      <c r="H4" s="13">
        <v>44378</v>
      </c>
      <c r="I4" s="14">
        <v>44409</v>
      </c>
      <c r="J4" s="14">
        <v>44440</v>
      </c>
      <c r="K4" s="14">
        <v>44470</v>
      </c>
      <c r="L4" s="13">
        <v>44501</v>
      </c>
      <c r="M4" s="13">
        <v>44531</v>
      </c>
      <c r="N4" s="15" t="s">
        <v>55</v>
      </c>
    </row>
    <row r="5" spans="1:28" s="21" customFormat="1" ht="21" customHeight="1" x14ac:dyDescent="0.2">
      <c r="A5" s="17" t="s">
        <v>0</v>
      </c>
      <c r="B5" s="18">
        <v>1.052</v>
      </c>
      <c r="C5" s="19">
        <v>0.92400000000000004</v>
      </c>
      <c r="D5" s="19">
        <v>0.996</v>
      </c>
      <c r="E5" s="19">
        <v>0.92100000000000004</v>
      </c>
      <c r="F5" s="19">
        <v>0.95099999999999996</v>
      </c>
      <c r="G5" s="19">
        <v>0.52200000000000002</v>
      </c>
      <c r="H5" s="19">
        <v>3.9E-2</v>
      </c>
      <c r="I5" s="45">
        <v>8.4000000000000005E-2</v>
      </c>
      <c r="J5" s="19">
        <v>8.8999999999999996E-2</v>
      </c>
      <c r="K5" s="19">
        <v>8.5999999999999993E-2</v>
      </c>
      <c r="L5" s="19">
        <v>7.8E-2</v>
      </c>
      <c r="M5" s="19">
        <v>7.3999999999999996E-2</v>
      </c>
      <c r="N5" s="20">
        <f>SUM(B5:M5)</f>
        <v>5.8159999999999998</v>
      </c>
      <c r="P5" s="34"/>
      <c r="Q5" s="37"/>
      <c r="R5" s="42"/>
    </row>
    <row r="6" spans="1:28" s="21" customFormat="1" ht="21" customHeight="1" x14ac:dyDescent="0.2">
      <c r="A6" s="22" t="s">
        <v>1</v>
      </c>
      <c r="B6" s="23">
        <v>4475.4849999999997</v>
      </c>
      <c r="C6" s="24">
        <v>4102.5209999999997</v>
      </c>
      <c r="D6" s="24">
        <v>4469.7120000000004</v>
      </c>
      <c r="E6" s="24">
        <v>4295.3450000000003</v>
      </c>
      <c r="F6" s="24">
        <v>4783.4650000000001</v>
      </c>
      <c r="G6" s="24">
        <v>4347.09</v>
      </c>
      <c r="H6" s="24">
        <v>4827.9790000000003</v>
      </c>
      <c r="I6" s="24">
        <v>5537.1450000000004</v>
      </c>
      <c r="J6" s="24">
        <v>4465.5110000000004</v>
      </c>
      <c r="K6" s="24">
        <v>5027.2430000000004</v>
      </c>
      <c r="L6" s="24">
        <v>4973.1729999999998</v>
      </c>
      <c r="M6" s="24">
        <v>4867.1180000000004</v>
      </c>
      <c r="N6" s="25">
        <f>SUM(B6:M6)</f>
        <v>56171.787000000004</v>
      </c>
      <c r="P6" s="34"/>
      <c r="Q6" s="37"/>
      <c r="R6" s="42"/>
    </row>
    <row r="7" spans="1:28" s="21" customFormat="1" ht="21" customHeight="1" x14ac:dyDescent="0.2">
      <c r="A7" s="26" t="s">
        <v>2</v>
      </c>
      <c r="B7" s="27">
        <v>174.75900000000092</v>
      </c>
      <c r="C7" s="28">
        <v>89.516000000000531</v>
      </c>
      <c r="D7" s="28">
        <v>-24.228000000000975</v>
      </c>
      <c r="E7" s="28">
        <v>72.34099999999944</v>
      </c>
      <c r="F7" s="28">
        <v>-32.851999999999862</v>
      </c>
      <c r="G7" s="28">
        <v>188.5679999999993</v>
      </c>
      <c r="H7" s="28">
        <v>147.65800000000036</v>
      </c>
      <c r="I7" s="28">
        <v>261.22099999999955</v>
      </c>
      <c r="J7" s="28">
        <v>38.770999999999731</v>
      </c>
      <c r="K7" s="28">
        <v>527.76499999999942</v>
      </c>
      <c r="L7" s="28">
        <v>313.21599999999944</v>
      </c>
      <c r="M7" s="28">
        <v>22.157999999999447</v>
      </c>
      <c r="N7" s="29">
        <f t="shared" ref="N7:N49" si="0">SUM(B7:M7)</f>
        <v>1778.8929999999973</v>
      </c>
      <c r="P7" s="34"/>
      <c r="Q7" s="37"/>
      <c r="R7" s="42"/>
    </row>
    <row r="8" spans="1:28" s="21" customFormat="1" ht="21" customHeight="1" x14ac:dyDescent="0.2">
      <c r="A8" s="26" t="s">
        <v>3</v>
      </c>
      <c r="B8" s="27">
        <v>46.15</v>
      </c>
      <c r="C8" s="28">
        <v>-156.41300000000001</v>
      </c>
      <c r="D8" s="28">
        <v>-49.902000000000001</v>
      </c>
      <c r="E8" s="28">
        <v>-206.03100000000001</v>
      </c>
      <c r="F8" s="28">
        <v>61.476999999999997</v>
      </c>
      <c r="G8" s="28">
        <v>81.787000000000006</v>
      </c>
      <c r="H8" s="28">
        <v>-139.63</v>
      </c>
      <c r="I8" s="28">
        <v>251.04499999999999</v>
      </c>
      <c r="J8" s="28">
        <v>-552.95000000000005</v>
      </c>
      <c r="K8" s="28">
        <v>261.30500000000001</v>
      </c>
      <c r="L8" s="28">
        <v>14.704000000000001</v>
      </c>
      <c r="M8" s="28">
        <v>-356.06299999999999</v>
      </c>
      <c r="N8" s="29">
        <f t="shared" si="0"/>
        <v>-744.52100000000007</v>
      </c>
      <c r="P8" s="34"/>
      <c r="Q8" s="37"/>
      <c r="R8" s="42"/>
    </row>
    <row r="9" spans="1:28" s="21" customFormat="1" ht="21" customHeight="1" x14ac:dyDescent="0.2">
      <c r="A9" s="26" t="s">
        <v>4</v>
      </c>
      <c r="B9" s="27">
        <v>141.374</v>
      </c>
      <c r="C9" s="28">
        <v>115.76700000000001</v>
      </c>
      <c r="D9" s="28">
        <v>-136.27800000000002</v>
      </c>
      <c r="E9" s="28">
        <v>42.543000000000006</v>
      </c>
      <c r="F9" s="28">
        <v>-32.813999999999993</v>
      </c>
      <c r="G9" s="28">
        <v>1.7509999999999906</v>
      </c>
      <c r="H9" s="28">
        <v>-55.290999999999997</v>
      </c>
      <c r="I9" s="28">
        <v>114.56200000000004</v>
      </c>
      <c r="J9" s="28">
        <v>-154.69399999999996</v>
      </c>
      <c r="K9" s="28">
        <v>72.060999999999979</v>
      </c>
      <c r="L9" s="28">
        <v>61.958999999999996</v>
      </c>
      <c r="M9" s="28">
        <v>-246.23099999999999</v>
      </c>
      <c r="N9" s="29">
        <f t="shared" si="0"/>
        <v>-75.290999999999912</v>
      </c>
      <c r="P9" s="34"/>
      <c r="Q9" s="37"/>
      <c r="R9" s="42"/>
    </row>
    <row r="10" spans="1:28" s="21" customFormat="1" ht="21" customHeight="1" x14ac:dyDescent="0.2">
      <c r="A10" s="26" t="s">
        <v>5</v>
      </c>
      <c r="B10" s="27">
        <v>15</v>
      </c>
      <c r="C10" s="28">
        <v>32</v>
      </c>
      <c r="D10" s="28">
        <v>20</v>
      </c>
      <c r="E10" s="28">
        <v>31</v>
      </c>
      <c r="F10" s="28">
        <v>18</v>
      </c>
      <c r="G10" s="28">
        <v>22</v>
      </c>
      <c r="H10" s="28">
        <v>23</v>
      </c>
      <c r="I10" s="28">
        <v>26</v>
      </c>
      <c r="J10" s="28">
        <v>19</v>
      </c>
      <c r="K10" s="28">
        <v>12</v>
      </c>
      <c r="L10" s="28">
        <v>32</v>
      </c>
      <c r="M10" s="28">
        <v>21</v>
      </c>
      <c r="N10" s="29">
        <f t="shared" si="0"/>
        <v>271</v>
      </c>
      <c r="P10" s="34"/>
      <c r="Q10" s="37"/>
      <c r="R10" s="42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37"/>
      <c r="R11" s="42"/>
    </row>
    <row r="12" spans="1:28" s="31" customFormat="1" ht="21" customHeight="1" x14ac:dyDescent="0.2">
      <c r="A12" s="22" t="s">
        <v>7</v>
      </c>
      <c r="B12" s="24">
        <v>4478.7720000000008</v>
      </c>
      <c r="C12" s="24">
        <v>4265.607</v>
      </c>
      <c r="D12" s="24">
        <v>4652.66</v>
      </c>
      <c r="E12" s="24">
        <v>4563.0950000000003</v>
      </c>
      <c r="F12" s="24">
        <v>4740.9010000000007</v>
      </c>
      <c r="G12" s="24">
        <v>4474.6419999999989</v>
      </c>
      <c r="H12" s="24">
        <v>5193.5970000000007</v>
      </c>
      <c r="I12" s="24">
        <v>5458.8429999999998</v>
      </c>
      <c r="J12" s="24">
        <v>5231.0149999999994</v>
      </c>
      <c r="K12" s="24">
        <v>5233.7280000000001</v>
      </c>
      <c r="L12" s="24">
        <v>5241.8040000000001</v>
      </c>
      <c r="M12" s="24">
        <v>5512.6439999999993</v>
      </c>
      <c r="N12" s="25">
        <f>SUM(B12:M12)</f>
        <v>59047.308000000005</v>
      </c>
      <c r="P12" s="34"/>
      <c r="Q12" s="37"/>
      <c r="R12" s="42"/>
    </row>
    <row r="13" spans="1:28" s="21" customFormat="1" ht="21" customHeight="1" x14ac:dyDescent="0.2">
      <c r="A13" s="26" t="s">
        <v>12</v>
      </c>
      <c r="B13" s="27">
        <v>4430.3869999999997</v>
      </c>
      <c r="C13" s="28">
        <v>4259.8580000000002</v>
      </c>
      <c r="D13" s="28">
        <v>4520.6099999999997</v>
      </c>
      <c r="E13" s="28">
        <v>4502.2969999999996</v>
      </c>
      <c r="F13" s="28">
        <v>4722.9390000000003</v>
      </c>
      <c r="G13" s="28">
        <v>4265.8249999999998</v>
      </c>
      <c r="H13" s="28">
        <v>4967.6480000000001</v>
      </c>
      <c r="I13" s="28">
        <v>5286.1840000000002</v>
      </c>
      <c r="J13" s="28">
        <v>5018.55</v>
      </c>
      <c r="K13" s="28">
        <v>4766.0240000000003</v>
      </c>
      <c r="L13" s="28">
        <v>4958.5469999999996</v>
      </c>
      <c r="M13" s="28">
        <v>5223.2550000000001</v>
      </c>
      <c r="N13" s="29">
        <f t="shared" si="0"/>
        <v>56922.123999999996</v>
      </c>
      <c r="P13" s="34"/>
      <c r="Q13" s="37"/>
      <c r="R13" s="42"/>
    </row>
    <row r="14" spans="1:28" s="21" customFormat="1" ht="21" customHeight="1" x14ac:dyDescent="0.2">
      <c r="A14" s="26" t="s">
        <v>8</v>
      </c>
      <c r="B14" s="27">
        <v>75.259999999999309</v>
      </c>
      <c r="C14" s="28">
        <v>110.46600000000035</v>
      </c>
      <c r="D14" s="28">
        <v>84.720000000000255</v>
      </c>
      <c r="E14" s="28">
        <v>80.791000000001077</v>
      </c>
      <c r="F14" s="28">
        <v>85.351000000000568</v>
      </c>
      <c r="G14" s="28">
        <v>80.143999999999323</v>
      </c>
      <c r="H14" s="28">
        <v>24.697000000000116</v>
      </c>
      <c r="I14" s="46">
        <v>105.93099999999959</v>
      </c>
      <c r="J14" s="28">
        <v>44.329000000000633</v>
      </c>
      <c r="K14" s="28">
        <v>79.876999999999498</v>
      </c>
      <c r="L14" s="28">
        <v>32.423000000000684</v>
      </c>
      <c r="M14" s="28">
        <v>66.523000000000138</v>
      </c>
      <c r="N14" s="29">
        <f t="shared" si="0"/>
        <v>870.51200000000154</v>
      </c>
      <c r="P14" s="36"/>
      <c r="Q14" s="3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M15" si="1">SUM(B16:B49)</f>
        <v>4403.5120000000006</v>
      </c>
      <c r="C15" s="24">
        <f t="shared" si="1"/>
        <v>4155.1409999999996</v>
      </c>
      <c r="D15" s="24">
        <f t="shared" si="1"/>
        <v>4567.9399999999996</v>
      </c>
      <c r="E15" s="24">
        <f t="shared" si="1"/>
        <v>4482.3039999999992</v>
      </c>
      <c r="F15" s="24">
        <f t="shared" si="1"/>
        <v>4655.55</v>
      </c>
      <c r="G15" s="24">
        <f t="shared" si="1"/>
        <v>4394.4980000000005</v>
      </c>
      <c r="H15" s="24">
        <f t="shared" si="1"/>
        <v>5168.9000000000005</v>
      </c>
      <c r="I15" s="24">
        <f t="shared" si="1"/>
        <v>5352.9120000000003</v>
      </c>
      <c r="J15" s="24">
        <f t="shared" si="1"/>
        <v>5186.6859999999997</v>
      </c>
      <c r="K15" s="24">
        <f t="shared" si="1"/>
        <v>5153.8510000000006</v>
      </c>
      <c r="L15" s="24">
        <f t="shared" si="1"/>
        <v>5209.3809999999994</v>
      </c>
      <c r="M15" s="24">
        <f t="shared" si="1"/>
        <v>5446.1209999999992</v>
      </c>
      <c r="N15" s="25">
        <f t="shared" si="0"/>
        <v>58176.796000000002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147.88</v>
      </c>
      <c r="C16" s="2">
        <v>137.054</v>
      </c>
      <c r="D16" s="2">
        <v>155.30000000000001</v>
      </c>
      <c r="E16" s="2">
        <v>145.84100000000001</v>
      </c>
      <c r="F16" s="2">
        <v>149.12200000000001</v>
      </c>
      <c r="G16" s="2">
        <v>151.71799999999999</v>
      </c>
      <c r="H16" s="2">
        <v>173.57</v>
      </c>
      <c r="I16" s="2">
        <v>178.03800000000001</v>
      </c>
      <c r="J16" s="2">
        <v>169.1</v>
      </c>
      <c r="K16" s="2">
        <v>168.97300000000001</v>
      </c>
      <c r="L16" s="2">
        <v>176.48099999999999</v>
      </c>
      <c r="M16" s="2">
        <v>199.566</v>
      </c>
      <c r="N16" s="4">
        <f t="shared" si="0"/>
        <v>1952.643</v>
      </c>
      <c r="Q16" s="30"/>
      <c r="R16" s="41"/>
      <c r="S16" s="44"/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41"/>
      <c r="S17" s="44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87.123000000000005</v>
      </c>
      <c r="C18" s="2">
        <v>62.353999999999999</v>
      </c>
      <c r="D18" s="2">
        <v>77.013000000000005</v>
      </c>
      <c r="E18" s="2">
        <v>67.352999999999994</v>
      </c>
      <c r="F18" s="2">
        <v>91.915000000000006</v>
      </c>
      <c r="G18" s="2">
        <v>70.516999999999996</v>
      </c>
      <c r="H18" s="2">
        <v>80.135999999999996</v>
      </c>
      <c r="I18" s="2">
        <v>100.602</v>
      </c>
      <c r="J18" s="2">
        <v>100.43899999999999</v>
      </c>
      <c r="K18" s="2">
        <v>110.425</v>
      </c>
      <c r="L18" s="2">
        <v>112.054</v>
      </c>
      <c r="M18" s="2">
        <v>111.30200000000001</v>
      </c>
      <c r="N18" s="4">
        <f t="shared" si="0"/>
        <v>1071.2329999999999</v>
      </c>
      <c r="Q18" s="30"/>
      <c r="R18" s="41"/>
      <c r="S18" s="44"/>
    </row>
    <row r="19" spans="1:29" ht="16.5" customHeight="1" x14ac:dyDescent="0.2">
      <c r="A19" s="9" t="s">
        <v>17</v>
      </c>
      <c r="B19" s="3">
        <v>22.736999999999995</v>
      </c>
      <c r="C19" s="2">
        <v>11.951999999999998</v>
      </c>
      <c r="D19" s="2">
        <v>5.0429999999999922</v>
      </c>
      <c r="E19" s="2">
        <v>0</v>
      </c>
      <c r="F19" s="2">
        <v>0</v>
      </c>
      <c r="G19" s="2">
        <v>0</v>
      </c>
      <c r="H19" s="2">
        <v>0</v>
      </c>
      <c r="I19" s="2">
        <v>5.3719999999999999</v>
      </c>
      <c r="J19" s="2">
        <v>31.879000000000019</v>
      </c>
      <c r="K19" s="2">
        <v>28.978999999999999</v>
      </c>
      <c r="L19" s="2">
        <v>36.085000000000008</v>
      </c>
      <c r="M19" s="2">
        <v>26.689999999999984</v>
      </c>
      <c r="N19" s="4">
        <f t="shared" si="0"/>
        <v>168.73700000000002</v>
      </c>
      <c r="Q19" s="30"/>
      <c r="R19" s="41"/>
      <c r="S19" s="44"/>
    </row>
    <row r="20" spans="1:29" ht="16.5" customHeight="1" x14ac:dyDescent="0.2">
      <c r="A20" s="9" t="s">
        <v>18</v>
      </c>
      <c r="B20" s="3">
        <v>61.146000000000001</v>
      </c>
      <c r="C20" s="2">
        <v>52.889000000000003</v>
      </c>
      <c r="D20" s="2">
        <v>76.164000000000001</v>
      </c>
      <c r="E20" s="2">
        <v>47.009</v>
      </c>
      <c r="F20" s="2">
        <v>133.55199999999999</v>
      </c>
      <c r="G20" s="2">
        <v>140.483</v>
      </c>
      <c r="H20" s="2">
        <v>160.67500000000001</v>
      </c>
      <c r="I20" s="2">
        <v>165.417</v>
      </c>
      <c r="J20" s="2">
        <v>146.798</v>
      </c>
      <c r="K20" s="2">
        <v>158.29599999999999</v>
      </c>
      <c r="L20" s="2">
        <v>145.405</v>
      </c>
      <c r="M20" s="2">
        <v>155.91399999999999</v>
      </c>
      <c r="N20" s="4">
        <f t="shared" si="0"/>
        <v>1443.748</v>
      </c>
      <c r="Q20" s="30"/>
      <c r="R20" s="41"/>
      <c r="S20" s="44"/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Q21" s="30"/>
      <c r="R21" s="41"/>
      <c r="S21" s="44"/>
    </row>
    <row r="22" spans="1:29" ht="16.5" customHeight="1" x14ac:dyDescent="0.2">
      <c r="A22" s="9" t="s">
        <v>20</v>
      </c>
      <c r="B22" s="3">
        <v>95.11</v>
      </c>
      <c r="C22" s="2">
        <v>82.474999999999994</v>
      </c>
      <c r="D22" s="2">
        <v>80.319999999999993</v>
      </c>
      <c r="E22" s="2">
        <v>107.09699999999999</v>
      </c>
      <c r="F22" s="2">
        <v>94.135000000000005</v>
      </c>
      <c r="G22" s="2">
        <v>105.343</v>
      </c>
      <c r="H22" s="2">
        <v>103.964</v>
      </c>
      <c r="I22" s="2">
        <v>106.248</v>
      </c>
      <c r="J22" s="2">
        <v>107.21</v>
      </c>
      <c r="K22" s="2">
        <v>105.301</v>
      </c>
      <c r="L22" s="2">
        <v>100.871</v>
      </c>
      <c r="M22" s="2">
        <v>98.807000000000002</v>
      </c>
      <c r="N22" s="4">
        <f t="shared" si="0"/>
        <v>1186.8810000000001</v>
      </c>
      <c r="Q22" s="30"/>
      <c r="R22" s="41"/>
      <c r="S22" s="44"/>
    </row>
    <row r="23" spans="1:29" ht="16.5" customHeight="1" x14ac:dyDescent="0.2">
      <c r="A23" s="9" t="s">
        <v>21</v>
      </c>
      <c r="B23" s="3">
        <v>3.99</v>
      </c>
      <c r="C23" s="2">
        <v>1.633</v>
      </c>
      <c r="D23" s="2">
        <v>0.878</v>
      </c>
      <c r="E23" s="2">
        <v>3.6</v>
      </c>
      <c r="F23" s="2">
        <v>10.055999999999999</v>
      </c>
      <c r="G23" s="2">
        <v>4.7519999999999998</v>
      </c>
      <c r="H23" s="2">
        <v>4.0839999999999996</v>
      </c>
      <c r="I23" s="2">
        <v>8.8729999999999993</v>
      </c>
      <c r="J23" s="2">
        <v>4.407</v>
      </c>
      <c r="K23" s="2">
        <v>6.9009999999999998</v>
      </c>
      <c r="L23" s="2">
        <v>2.7370000000000001</v>
      </c>
      <c r="M23" s="2">
        <v>3.395</v>
      </c>
      <c r="N23" s="4">
        <f t="shared" si="0"/>
        <v>55.305999999999997</v>
      </c>
      <c r="Q23" s="30"/>
      <c r="R23" s="41"/>
      <c r="S23" s="44"/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Q24" s="30"/>
      <c r="R24" s="41"/>
      <c r="S24" s="44"/>
    </row>
    <row r="25" spans="1:29" ht="16.5" customHeight="1" x14ac:dyDescent="0.2">
      <c r="A25" s="9" t="s">
        <v>23</v>
      </c>
      <c r="B25" s="3">
        <v>621.11900000000003</v>
      </c>
      <c r="C25" s="2">
        <v>595.48199999999997</v>
      </c>
      <c r="D25" s="2">
        <v>683.16800000000001</v>
      </c>
      <c r="E25" s="2">
        <v>634.65499999999997</v>
      </c>
      <c r="F25" s="2">
        <v>664.38</v>
      </c>
      <c r="G25" s="2">
        <v>636.72299999999996</v>
      </c>
      <c r="H25" s="2">
        <v>736.13599999999997</v>
      </c>
      <c r="I25" s="2">
        <v>781.46500000000003</v>
      </c>
      <c r="J25" s="2">
        <v>742.26</v>
      </c>
      <c r="K25" s="2">
        <v>792.94600000000003</v>
      </c>
      <c r="L25" s="2">
        <v>763.69799999999998</v>
      </c>
      <c r="M25" s="2">
        <v>773.63900000000001</v>
      </c>
      <c r="N25" s="4">
        <f t="shared" si="0"/>
        <v>8425.6710000000003</v>
      </c>
      <c r="Q25" s="30"/>
      <c r="R25" s="41"/>
      <c r="S25" s="44"/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Q26" s="30"/>
      <c r="R26" s="41"/>
      <c r="S26" s="44"/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Q27" s="30"/>
      <c r="R27" s="41"/>
      <c r="S27" s="44"/>
    </row>
    <row r="28" spans="1:29" ht="16.5" customHeight="1" x14ac:dyDescent="0.2">
      <c r="A28" s="9" t="s">
        <v>26</v>
      </c>
      <c r="B28" s="3">
        <v>22.475999999999999</v>
      </c>
      <c r="C28" s="2">
        <v>14.237</v>
      </c>
      <c r="D28" s="2">
        <v>5.8289999999999997</v>
      </c>
      <c r="E28" s="2">
        <v>10.365</v>
      </c>
      <c r="F28" s="2">
        <v>15.724</v>
      </c>
      <c r="G28" s="2">
        <v>24.616</v>
      </c>
      <c r="H28" s="2">
        <v>27.434000000000001</v>
      </c>
      <c r="I28" s="2">
        <v>40.816000000000003</v>
      </c>
      <c r="J28" s="2">
        <v>37.584000000000003</v>
      </c>
      <c r="K28" s="2">
        <v>47.247999999999998</v>
      </c>
      <c r="L28" s="2">
        <v>34.847999999999999</v>
      </c>
      <c r="M28" s="2">
        <v>34.442</v>
      </c>
      <c r="N28" s="4">
        <f t="shared" si="0"/>
        <v>315.61900000000003</v>
      </c>
      <c r="Q28" s="30"/>
      <c r="R28" s="41"/>
      <c r="S28" s="44"/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Q29" s="30"/>
      <c r="R29" s="30"/>
      <c r="S29" s="44"/>
    </row>
    <row r="30" spans="1:29" ht="16.5" customHeight="1" x14ac:dyDescent="0.2">
      <c r="A30" s="9" t="s">
        <v>28</v>
      </c>
      <c r="B30" s="3">
        <v>561.245</v>
      </c>
      <c r="C30" s="2">
        <v>591.62400000000002</v>
      </c>
      <c r="D30" s="2">
        <v>679.81899999999996</v>
      </c>
      <c r="E30" s="2">
        <v>652.38499999999999</v>
      </c>
      <c r="F30" s="2">
        <v>665.88499999999999</v>
      </c>
      <c r="G30" s="2">
        <v>632.02800000000002</v>
      </c>
      <c r="H30" s="2">
        <v>778.07899999999995</v>
      </c>
      <c r="I30" s="2">
        <v>784.70500000000004</v>
      </c>
      <c r="J30" s="2">
        <v>741.04899999999998</v>
      </c>
      <c r="K30" s="2">
        <v>765.10500000000002</v>
      </c>
      <c r="L30" s="2">
        <v>736.99300000000005</v>
      </c>
      <c r="M30" s="2">
        <v>789.76700000000005</v>
      </c>
      <c r="N30" s="4">
        <f t="shared" si="0"/>
        <v>8378.6840000000011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246.982</v>
      </c>
      <c r="C32" s="2">
        <v>221.46899999999999</v>
      </c>
      <c r="D32" s="2">
        <v>267.34699999999998</v>
      </c>
      <c r="E32" s="2">
        <v>266.40699999999998</v>
      </c>
      <c r="F32" s="2">
        <v>209.70400000000001</v>
      </c>
      <c r="G32" s="2">
        <v>207.86600000000001</v>
      </c>
      <c r="H32" s="2">
        <v>280.31900000000002</v>
      </c>
      <c r="I32" s="2">
        <v>286.952</v>
      </c>
      <c r="J32" s="2">
        <v>276.96600000000001</v>
      </c>
      <c r="K32" s="2">
        <v>248.39599999999999</v>
      </c>
      <c r="L32" s="2">
        <v>275.108</v>
      </c>
      <c r="M32" s="2">
        <v>274.26499999999999</v>
      </c>
      <c r="N32" s="4">
        <f t="shared" si="0"/>
        <v>3061.7809999999999</v>
      </c>
    </row>
    <row r="33" spans="1:14" ht="16.5" customHeight="1" x14ac:dyDescent="0.2">
      <c r="A33" s="9" t="s">
        <v>31</v>
      </c>
      <c r="B33" s="3">
        <v>35.593000000000004</v>
      </c>
      <c r="C33" s="2">
        <v>52.767000000000003</v>
      </c>
      <c r="D33" s="2">
        <v>40.356000000000002</v>
      </c>
      <c r="E33" s="2">
        <v>37.555999999999997</v>
      </c>
      <c r="F33" s="2">
        <v>0</v>
      </c>
      <c r="G33" s="2">
        <v>35.427999999999997</v>
      </c>
      <c r="H33" s="2">
        <v>11.552</v>
      </c>
      <c r="I33" s="2">
        <v>25.78</v>
      </c>
      <c r="J33" s="2">
        <v>29.966999999999999</v>
      </c>
      <c r="K33" s="2">
        <v>38.075000000000003</v>
      </c>
      <c r="L33" s="2">
        <v>28.227</v>
      </c>
      <c r="M33" s="2">
        <v>41.777000000000001</v>
      </c>
      <c r="N33" s="4">
        <f t="shared" si="0"/>
        <v>377.07799999999992</v>
      </c>
    </row>
    <row r="34" spans="1:14" ht="16.5" customHeight="1" x14ac:dyDescent="0.2">
      <c r="A34" s="9" t="s">
        <v>32</v>
      </c>
      <c r="B34" s="3">
        <v>3.0259999999999998</v>
      </c>
      <c r="C34" s="2">
        <v>9.6820000000000004</v>
      </c>
      <c r="D34" s="2">
        <v>1.585</v>
      </c>
      <c r="E34" s="2">
        <v>0.83499999999999996</v>
      </c>
      <c r="F34" s="2">
        <v>1.534</v>
      </c>
      <c r="G34" s="2">
        <v>1.587</v>
      </c>
      <c r="H34" s="2">
        <v>2.9409999999999998</v>
      </c>
      <c r="I34" s="2">
        <v>0</v>
      </c>
      <c r="J34" s="2">
        <v>3.57</v>
      </c>
      <c r="K34" s="2">
        <v>6.0590000000000002</v>
      </c>
      <c r="L34" s="2">
        <v>7.3559999999999999</v>
      </c>
      <c r="M34" s="2">
        <v>6.6929999999999996</v>
      </c>
      <c r="N34" s="4">
        <f t="shared" si="0"/>
        <v>44.867999999999995</v>
      </c>
    </row>
    <row r="35" spans="1:14" ht="16.5" customHeight="1" x14ac:dyDescent="0.2">
      <c r="A35" s="9" t="s">
        <v>33</v>
      </c>
      <c r="B35" s="3">
        <v>70.451999999999998</v>
      </c>
      <c r="C35" s="2">
        <v>66.912999999999997</v>
      </c>
      <c r="D35" s="2">
        <v>75.346999999999994</v>
      </c>
      <c r="E35" s="2">
        <v>77.143000000000001</v>
      </c>
      <c r="F35" s="2">
        <v>81.504999999999995</v>
      </c>
      <c r="G35" s="2">
        <v>77.564999999999998</v>
      </c>
      <c r="H35" s="2">
        <v>76.656000000000006</v>
      </c>
      <c r="I35" s="2">
        <v>72.468000000000004</v>
      </c>
      <c r="J35" s="2">
        <v>71.298000000000002</v>
      </c>
      <c r="K35" s="2">
        <v>82.888999999999996</v>
      </c>
      <c r="L35" s="2">
        <v>78.075999999999993</v>
      </c>
      <c r="M35" s="2">
        <v>68.486999999999995</v>
      </c>
      <c r="N35" s="4">
        <f t="shared" si="0"/>
        <v>898.79899999999998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1620.079</v>
      </c>
      <c r="C37" s="2">
        <v>1552.4109999999998</v>
      </c>
      <c r="D37" s="2">
        <v>1648.182</v>
      </c>
      <c r="E37" s="2">
        <v>1603.1210000000001</v>
      </c>
      <c r="F37" s="2">
        <v>1558.153</v>
      </c>
      <c r="G37" s="2">
        <v>1412.894</v>
      </c>
      <c r="H37" s="2">
        <v>1781.645</v>
      </c>
      <c r="I37" s="2">
        <v>1755.595</v>
      </c>
      <c r="J37" s="2">
        <v>1700.0880000000002</v>
      </c>
      <c r="K37" s="2">
        <v>1613.0140000000001</v>
      </c>
      <c r="L37" s="2">
        <v>1719.3000000000002</v>
      </c>
      <c r="M37" s="2">
        <v>1839.3739999999998</v>
      </c>
      <c r="N37" s="4">
        <f t="shared" si="0"/>
        <v>19803.856</v>
      </c>
    </row>
    <row r="38" spans="1:14" ht="16.5" customHeight="1" x14ac:dyDescent="0.2">
      <c r="A38" s="9" t="s">
        <v>36</v>
      </c>
      <c r="B38" s="3">
        <v>7.1959999999999997</v>
      </c>
      <c r="C38" s="2">
        <v>3.8889999999999998</v>
      </c>
      <c r="D38" s="2">
        <v>4.3680000000000003</v>
      </c>
      <c r="E38" s="2">
        <v>5.9530000000000003</v>
      </c>
      <c r="F38" s="2">
        <v>5.1150000000000002</v>
      </c>
      <c r="G38" s="2">
        <v>7.0549999999999997</v>
      </c>
      <c r="H38" s="2">
        <v>23.931000000000001</v>
      </c>
      <c r="I38" s="2">
        <v>20.207000000000001</v>
      </c>
      <c r="J38" s="2">
        <v>17.456</v>
      </c>
      <c r="K38" s="2">
        <v>7.6619999999999999</v>
      </c>
      <c r="L38" s="2">
        <v>3.0390000000000001</v>
      </c>
      <c r="M38" s="2">
        <v>14.206</v>
      </c>
      <c r="N38" s="4">
        <f t="shared" si="0"/>
        <v>120.07700000000001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1.4E-2</v>
      </c>
      <c r="J40" s="2">
        <v>0</v>
      </c>
      <c r="K40" s="2">
        <v>1E-3</v>
      </c>
      <c r="L40" s="2">
        <v>0</v>
      </c>
      <c r="M40" s="2">
        <v>0</v>
      </c>
      <c r="N40" s="4">
        <f t="shared" si="0"/>
        <v>1.4999999999999999E-2</v>
      </c>
    </row>
    <row r="41" spans="1:14" ht="16.5" customHeight="1" x14ac:dyDescent="0.2">
      <c r="A41" s="9" t="s">
        <v>39</v>
      </c>
      <c r="B41" s="3">
        <v>18.100000000000001</v>
      </c>
      <c r="C41" s="2">
        <v>15.304</v>
      </c>
      <c r="D41" s="2">
        <v>15.808999999999999</v>
      </c>
      <c r="E41" s="2">
        <v>17.097000000000001</v>
      </c>
      <c r="F41" s="2">
        <v>5.7380000000000004</v>
      </c>
      <c r="G41" s="2">
        <v>6.6000000000000003E-2</v>
      </c>
      <c r="H41" s="2">
        <v>4.2999999999999997E-2</v>
      </c>
      <c r="I41" s="2">
        <v>4.7E-2</v>
      </c>
      <c r="J41" s="2">
        <v>4.4999999999999998E-2</v>
      </c>
      <c r="K41" s="2">
        <v>0.161</v>
      </c>
      <c r="L41" s="2">
        <v>2.407</v>
      </c>
      <c r="M41" s="2">
        <v>4.7E-2</v>
      </c>
      <c r="N41" s="4">
        <f t="shared" si="0"/>
        <v>74.864000000000004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132.13900000000001</v>
      </c>
      <c r="C43" s="2">
        <v>53.024999999999991</v>
      </c>
      <c r="D43" s="2">
        <v>60.739000000000004</v>
      </c>
      <c r="E43" s="2">
        <v>58.116999999999997</v>
      </c>
      <c r="F43" s="2">
        <v>234.94800000000001</v>
      </c>
      <c r="G43" s="2">
        <v>186.69800000000001</v>
      </c>
      <c r="H43" s="2">
        <v>291.54700000000003</v>
      </c>
      <c r="I43" s="2">
        <v>258.51900000000001</v>
      </c>
      <c r="J43" s="2">
        <v>287.762</v>
      </c>
      <c r="K43" s="2">
        <v>335.839</v>
      </c>
      <c r="L43" s="2">
        <v>353.40699999999998</v>
      </c>
      <c r="M43" s="2">
        <v>317.00099999999998</v>
      </c>
      <c r="N43" s="4">
        <f t="shared" si="0"/>
        <v>2569.741</v>
      </c>
    </row>
    <row r="44" spans="1:14" ht="16.5" customHeight="1" x14ac:dyDescent="0.2">
      <c r="A44" s="9" t="s">
        <v>41</v>
      </c>
      <c r="B44" s="3">
        <v>22.867000000000001</v>
      </c>
      <c r="C44" s="2">
        <v>16.065999999999999</v>
      </c>
      <c r="D44" s="2">
        <v>24.538</v>
      </c>
      <c r="E44" s="2">
        <v>29.27</v>
      </c>
      <c r="F44" s="2">
        <v>26.614999999999998</v>
      </c>
      <c r="G44" s="2">
        <v>26.077000000000002</v>
      </c>
      <c r="H44" s="2">
        <v>28.454000000000001</v>
      </c>
      <c r="I44" s="2">
        <v>34.176000000000002</v>
      </c>
      <c r="J44" s="2">
        <v>26.571999999999999</v>
      </c>
      <c r="K44" s="2">
        <v>24.978999999999999</v>
      </c>
      <c r="L44" s="2">
        <v>18.93</v>
      </c>
      <c r="M44" s="2">
        <v>28.966999999999999</v>
      </c>
      <c r="N44" s="4">
        <f t="shared" si="0"/>
        <v>307.51099999999997</v>
      </c>
    </row>
    <row r="45" spans="1:14" ht="16.5" customHeight="1" x14ac:dyDescent="0.2">
      <c r="A45" s="9" t="s">
        <v>42</v>
      </c>
      <c r="B45" s="3">
        <v>151.666</v>
      </c>
      <c r="C45" s="2">
        <v>121.672</v>
      </c>
      <c r="D45" s="2">
        <v>168.34800000000001</v>
      </c>
      <c r="E45" s="2">
        <v>188.80199999999999</v>
      </c>
      <c r="F45" s="2">
        <v>190.97399999999999</v>
      </c>
      <c r="G45" s="2">
        <v>218.44</v>
      </c>
      <c r="H45" s="2">
        <v>206.68299999999999</v>
      </c>
      <c r="I45" s="2">
        <v>197.34899999999999</v>
      </c>
      <c r="J45" s="2">
        <v>198.458</v>
      </c>
      <c r="K45" s="2">
        <v>201.52500000000001</v>
      </c>
      <c r="L45" s="2">
        <v>169.536</v>
      </c>
      <c r="M45" s="2">
        <v>177.779</v>
      </c>
      <c r="N45" s="4">
        <f t="shared" si="0"/>
        <v>2191.232</v>
      </c>
    </row>
    <row r="46" spans="1:14" ht="16.5" customHeight="1" x14ac:dyDescent="0.2">
      <c r="A46" s="9" t="s">
        <v>43</v>
      </c>
      <c r="B46" s="3">
        <v>10.618</v>
      </c>
      <c r="C46" s="2">
        <v>11.439</v>
      </c>
      <c r="D46" s="2">
        <v>18.244</v>
      </c>
      <c r="E46" s="2">
        <v>13.31</v>
      </c>
      <c r="F46" s="2">
        <v>12.487</v>
      </c>
      <c r="G46" s="2">
        <v>10.776999999999999</v>
      </c>
      <c r="H46" s="2">
        <v>18.123999999999999</v>
      </c>
      <c r="I46" s="2">
        <v>8.7520000000000007</v>
      </c>
      <c r="J46" s="2">
        <v>10.983000000000001</v>
      </c>
      <c r="K46" s="2">
        <v>8.4870000000000001</v>
      </c>
      <c r="L46" s="2">
        <v>9.3460000000000001</v>
      </c>
      <c r="M46" s="2">
        <v>11.391</v>
      </c>
      <c r="N46" s="4">
        <f t="shared" si="0"/>
        <v>143.95799999999997</v>
      </c>
    </row>
    <row r="47" spans="1:14" ht="16.5" customHeight="1" x14ac:dyDescent="0.2">
      <c r="A47" s="9" t="s">
        <v>44</v>
      </c>
      <c r="B47" s="3">
        <v>5.9690000000000003</v>
      </c>
      <c r="C47" s="2">
        <v>5.1769999999999996</v>
      </c>
      <c r="D47" s="2">
        <v>5.9459999999999997</v>
      </c>
      <c r="E47" s="2">
        <v>6.4809999999999999</v>
      </c>
      <c r="F47" s="2">
        <v>6.6360000000000001</v>
      </c>
      <c r="G47" s="2">
        <v>6.8019999999999996</v>
      </c>
      <c r="H47" s="2">
        <v>6.26</v>
      </c>
      <c r="I47" s="2">
        <v>6.1470000000000002</v>
      </c>
      <c r="J47" s="2">
        <v>7.1680000000000001</v>
      </c>
      <c r="K47" s="2">
        <v>6.9489999999999998</v>
      </c>
      <c r="L47" s="2">
        <v>7.0439999999999996</v>
      </c>
      <c r="M47" s="2">
        <v>5.431</v>
      </c>
      <c r="N47" s="4">
        <f t="shared" si="0"/>
        <v>76.009999999999991</v>
      </c>
    </row>
    <row r="48" spans="1:14" ht="16.5" customHeight="1" x14ac:dyDescent="0.2">
      <c r="A48" s="9" t="s">
        <v>45</v>
      </c>
      <c r="B48" s="3">
        <v>267.685</v>
      </c>
      <c r="C48" s="2">
        <v>246.33600000000001</v>
      </c>
      <c r="D48" s="2">
        <v>262.63299999999998</v>
      </c>
      <c r="E48" s="2">
        <v>210.053</v>
      </c>
      <c r="F48" s="2">
        <v>212.15700000000001</v>
      </c>
      <c r="G48" s="2">
        <v>211.56100000000001</v>
      </c>
      <c r="H48" s="2">
        <v>252.21299999999999</v>
      </c>
      <c r="I48" s="2">
        <v>255.46299999999999</v>
      </c>
      <c r="J48" s="2">
        <v>260.315</v>
      </c>
      <c r="K48" s="2">
        <v>200.27799999999999</v>
      </c>
      <c r="L48" s="2">
        <v>227.55699999999999</v>
      </c>
      <c r="M48" s="2">
        <v>280.89600000000002</v>
      </c>
      <c r="N48" s="4">
        <f t="shared" si="0"/>
        <v>2887.1469999999995</v>
      </c>
    </row>
    <row r="49" spans="1:14" ht="18" customHeight="1" x14ac:dyDescent="0.2">
      <c r="A49" s="10" t="s">
        <v>52</v>
      </c>
      <c r="B49" s="7">
        <v>188.31399999999999</v>
      </c>
      <c r="C49" s="5">
        <v>229.29099999999926</v>
      </c>
      <c r="D49" s="5">
        <v>210.96399999999903</v>
      </c>
      <c r="E49" s="5">
        <v>299.85399999999845</v>
      </c>
      <c r="F49" s="5">
        <v>285.21500000000003</v>
      </c>
      <c r="G49" s="5">
        <v>225.50200000000001</v>
      </c>
      <c r="H49" s="5">
        <v>124.45400000000154</v>
      </c>
      <c r="I49" s="5">
        <v>259.90699999999924</v>
      </c>
      <c r="J49" s="5">
        <v>215.31200000000081</v>
      </c>
      <c r="K49" s="5">
        <v>195.36299999999997</v>
      </c>
      <c r="L49" s="5">
        <v>200.87599999999929</v>
      </c>
      <c r="M49" s="5">
        <v>186.28499999999997</v>
      </c>
      <c r="N49" s="6">
        <f t="shared" si="0"/>
        <v>2621.3369999999973</v>
      </c>
    </row>
    <row r="50" spans="1:14" x14ac:dyDescent="0.2">
      <c r="F50" s="41"/>
    </row>
    <row r="51" spans="1:14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14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14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</row>
    <row r="54" spans="1:14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14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14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14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14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14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14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14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14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14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14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C250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44562</v>
      </c>
      <c r="C4" s="13">
        <v>44593</v>
      </c>
      <c r="D4" s="13">
        <v>44621</v>
      </c>
      <c r="E4" s="13">
        <v>44652</v>
      </c>
      <c r="F4" s="13">
        <v>44682</v>
      </c>
      <c r="G4" s="13">
        <v>44713</v>
      </c>
      <c r="H4" s="13">
        <v>44743</v>
      </c>
      <c r="I4" s="14">
        <v>44774</v>
      </c>
      <c r="J4" s="14">
        <v>44805</v>
      </c>
      <c r="K4" s="14">
        <v>44835</v>
      </c>
      <c r="L4" s="13">
        <v>44866</v>
      </c>
      <c r="M4" s="13">
        <v>44896</v>
      </c>
      <c r="N4" s="15" t="s">
        <v>56</v>
      </c>
    </row>
    <row r="5" spans="1:28" s="21" customFormat="1" ht="21" customHeight="1" x14ac:dyDescent="0.2">
      <c r="A5" s="17" t="s">
        <v>0</v>
      </c>
      <c r="B5" s="18">
        <v>7.4999999999999997E-2</v>
      </c>
      <c r="C5" s="19">
        <v>6.8000000000000005E-2</v>
      </c>
      <c r="D5" s="19">
        <v>4.2000000000000003E-2</v>
      </c>
      <c r="E5" s="19">
        <v>8.8999999999999996E-2</v>
      </c>
      <c r="F5" s="19">
        <v>7.0000000000000007E-2</v>
      </c>
      <c r="G5" s="19">
        <v>5.6000000000000001E-2</v>
      </c>
      <c r="H5" s="19">
        <v>7.2999999999999995E-2</v>
      </c>
      <c r="I5" s="45">
        <v>0</v>
      </c>
      <c r="J5" s="19">
        <v>0.14899999999999999</v>
      </c>
      <c r="K5" s="19">
        <v>0.108</v>
      </c>
      <c r="L5" s="19">
        <v>9.6000000000000002E-2</v>
      </c>
      <c r="M5" s="19">
        <v>8.5999999999999993E-2</v>
      </c>
      <c r="N5" s="20">
        <v>0.91199999999999992</v>
      </c>
      <c r="P5" s="34"/>
      <c r="Q5" s="47"/>
    </row>
    <row r="6" spans="1:28" s="21" customFormat="1" ht="21" customHeight="1" x14ac:dyDescent="0.2">
      <c r="A6" s="22" t="s">
        <v>1</v>
      </c>
      <c r="B6" s="23">
        <v>5179.0039999999999</v>
      </c>
      <c r="C6" s="24">
        <v>4900.6149999999998</v>
      </c>
      <c r="D6" s="24">
        <v>5089.4709999999995</v>
      </c>
      <c r="E6" s="24">
        <v>5380.1090000000004</v>
      </c>
      <c r="F6" s="24">
        <v>6001.1440000000002</v>
      </c>
      <c r="G6" s="24">
        <v>5538.2340000000004</v>
      </c>
      <c r="H6" s="24">
        <v>6132.0410000000002</v>
      </c>
      <c r="I6" s="24">
        <v>5580.3639999999996</v>
      </c>
      <c r="J6" s="24">
        <v>4884.5</v>
      </c>
      <c r="K6" s="24">
        <v>4786.6840000000002</v>
      </c>
      <c r="L6" s="24">
        <v>4613.7719999999999</v>
      </c>
      <c r="M6" s="24">
        <v>5509.5910000000003</v>
      </c>
      <c r="N6" s="25">
        <v>63595.529000000002</v>
      </c>
      <c r="P6" s="34"/>
      <c r="Q6" s="47"/>
    </row>
    <row r="7" spans="1:28" s="21" customFormat="1" ht="21" customHeight="1" x14ac:dyDescent="0.2">
      <c r="A7" s="26" t="s">
        <v>2</v>
      </c>
      <c r="B7" s="27">
        <v>150.62100000000009</v>
      </c>
      <c r="C7" s="28">
        <v>160.36999999999989</v>
      </c>
      <c r="D7" s="28">
        <v>-48.170999999999367</v>
      </c>
      <c r="E7" s="28">
        <v>-34.48200000000088</v>
      </c>
      <c r="F7" s="28">
        <v>-123.1190000000006</v>
      </c>
      <c r="G7" s="28">
        <v>-189.08400000000074</v>
      </c>
      <c r="H7" s="28">
        <v>139.13000000000011</v>
      </c>
      <c r="I7" s="28">
        <v>-118.12099999999919</v>
      </c>
      <c r="J7" s="28">
        <v>-121.97099999999955</v>
      </c>
      <c r="K7" s="28">
        <v>-131.65399999999954</v>
      </c>
      <c r="L7" s="28">
        <v>-58.464999999999236</v>
      </c>
      <c r="M7" s="28">
        <v>-100.37700000000041</v>
      </c>
      <c r="N7" s="29">
        <v>-475.32299999999941</v>
      </c>
      <c r="P7" s="34"/>
      <c r="Q7" s="47"/>
    </row>
    <row r="8" spans="1:28" s="21" customFormat="1" ht="21" customHeight="1" x14ac:dyDescent="0.2">
      <c r="A8" s="26" t="s">
        <v>3</v>
      </c>
      <c r="B8" s="27">
        <v>-61.097999999999999</v>
      </c>
      <c r="C8" s="28">
        <v>230.256</v>
      </c>
      <c r="D8" s="28">
        <v>96.263999999999996</v>
      </c>
      <c r="E8" s="28">
        <v>-85.472999999999999</v>
      </c>
      <c r="F8" s="28">
        <v>185.67400000000001</v>
      </c>
      <c r="G8" s="28">
        <v>-20.652000000000001</v>
      </c>
      <c r="H8" s="28">
        <v>447.43200000000002</v>
      </c>
      <c r="I8" s="28">
        <v>58.113999999999997</v>
      </c>
      <c r="J8" s="28">
        <v>-392.66899999999998</v>
      </c>
      <c r="K8" s="28">
        <v>56.015999999999998</v>
      </c>
      <c r="L8" s="28">
        <v>-210.393</v>
      </c>
      <c r="M8" s="28">
        <v>-100.98</v>
      </c>
      <c r="N8" s="29">
        <v>202.49099999999999</v>
      </c>
      <c r="P8" s="34"/>
      <c r="Q8" s="47"/>
    </row>
    <row r="9" spans="1:28" s="21" customFormat="1" ht="21" customHeight="1" x14ac:dyDescent="0.2">
      <c r="A9" s="26" t="s">
        <v>4</v>
      </c>
      <c r="B9" s="27">
        <v>116.551</v>
      </c>
      <c r="C9" s="28">
        <v>94.025999999999982</v>
      </c>
      <c r="D9" s="28">
        <v>-16.843999999999994</v>
      </c>
      <c r="E9" s="28">
        <v>-23.048000000000002</v>
      </c>
      <c r="F9" s="28">
        <v>-59.074000000000012</v>
      </c>
      <c r="G9" s="28">
        <v>-151.04599999999999</v>
      </c>
      <c r="H9" s="28">
        <v>240.39499999999998</v>
      </c>
      <c r="I9" s="28">
        <v>72.691000000000003</v>
      </c>
      <c r="J9" s="28">
        <v>-33.239000000000033</v>
      </c>
      <c r="K9" s="28">
        <v>46.357999999999997</v>
      </c>
      <c r="L9" s="28">
        <v>6.882000000000005</v>
      </c>
      <c r="M9" s="28">
        <v>-149.03899999999999</v>
      </c>
      <c r="N9" s="29">
        <v>144.61299999999994</v>
      </c>
      <c r="P9" s="34"/>
      <c r="Q9" s="47"/>
    </row>
    <row r="10" spans="1:28" s="21" customFormat="1" ht="21" customHeight="1" x14ac:dyDescent="0.2">
      <c r="A10" s="26" t="s">
        <v>5</v>
      </c>
      <c r="B10" s="27">
        <v>64</v>
      </c>
      <c r="C10" s="28">
        <v>27</v>
      </c>
      <c r="D10" s="28">
        <v>48.981000000000002</v>
      </c>
      <c r="E10" s="28">
        <v>24.535</v>
      </c>
      <c r="F10" s="28">
        <v>76.410000000000011</v>
      </c>
      <c r="G10" s="28">
        <v>41.644999999999996</v>
      </c>
      <c r="H10" s="28">
        <v>113.864</v>
      </c>
      <c r="I10" s="28">
        <v>193.816</v>
      </c>
      <c r="J10" s="28">
        <v>97.12</v>
      </c>
      <c r="K10" s="28">
        <v>181.392</v>
      </c>
      <c r="L10" s="28">
        <v>71.731999999999999</v>
      </c>
      <c r="M10" s="28">
        <v>77.72</v>
      </c>
      <c r="N10" s="29">
        <v>1018.2149999999999</v>
      </c>
      <c r="P10" s="34"/>
      <c r="Q10" s="47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v>0</v>
      </c>
      <c r="P11" s="35"/>
      <c r="Q11" s="47"/>
    </row>
    <row r="12" spans="1:28" s="31" customFormat="1" ht="21" customHeight="1" x14ac:dyDescent="0.2">
      <c r="A12" s="22" t="s">
        <v>7</v>
      </c>
      <c r="B12" s="24">
        <v>5338.2469999999994</v>
      </c>
      <c r="C12" s="24">
        <v>4763.7709999999997</v>
      </c>
      <c r="D12" s="24">
        <v>5010.9030000000002</v>
      </c>
      <c r="E12" s="24">
        <v>5478.771999999999</v>
      </c>
      <c r="F12" s="24">
        <v>5827.9049999999988</v>
      </c>
      <c r="G12" s="24">
        <v>5562.549</v>
      </c>
      <c r="H12" s="24">
        <v>5697.2810000000009</v>
      </c>
      <c r="I12" s="24">
        <v>5525.2540000000008</v>
      </c>
      <c r="J12" s="24">
        <v>5285.706000000001</v>
      </c>
      <c r="K12" s="24">
        <v>4734.1560000000009</v>
      </c>
      <c r="L12" s="24">
        <v>4830.6460000000006</v>
      </c>
      <c r="M12" s="24">
        <v>5737.0389999999998</v>
      </c>
      <c r="N12" s="25">
        <v>63792.228999999999</v>
      </c>
      <c r="P12" s="34"/>
      <c r="Q12" s="47"/>
    </row>
    <row r="13" spans="1:28" s="21" customFormat="1" ht="21" customHeight="1" x14ac:dyDescent="0.2">
      <c r="A13" s="26" t="s">
        <v>12</v>
      </c>
      <c r="B13" s="27">
        <v>5240.1769999999997</v>
      </c>
      <c r="C13" s="28">
        <v>4670.4269999999997</v>
      </c>
      <c r="D13" s="28">
        <v>4993.2489999999998</v>
      </c>
      <c r="E13" s="28">
        <v>5465.6710000000003</v>
      </c>
      <c r="F13" s="28">
        <v>5815.54</v>
      </c>
      <c r="G13" s="28">
        <v>5558.942</v>
      </c>
      <c r="H13" s="28">
        <v>5684.6819999999998</v>
      </c>
      <c r="I13" s="28">
        <v>5522.25</v>
      </c>
      <c r="J13" s="28">
        <v>5277.3180000000002</v>
      </c>
      <c r="K13" s="28">
        <v>4730.7759999999998</v>
      </c>
      <c r="L13" s="28">
        <v>4824.2610000000004</v>
      </c>
      <c r="M13" s="28">
        <v>5610.6570000000002</v>
      </c>
      <c r="N13" s="29">
        <v>63393.94999999999</v>
      </c>
      <c r="P13" s="34"/>
      <c r="Q13" s="47"/>
    </row>
    <row r="14" spans="1:28" s="21" customFormat="1" ht="21" customHeight="1" x14ac:dyDescent="0.2">
      <c r="A14" s="26" t="s">
        <v>8</v>
      </c>
      <c r="B14" s="27">
        <v>48.11200000000008</v>
      </c>
      <c r="C14" s="28">
        <v>29.134000000000015</v>
      </c>
      <c r="D14" s="28">
        <v>148.33400000000074</v>
      </c>
      <c r="E14" s="28">
        <v>100.67599999999857</v>
      </c>
      <c r="F14" s="28">
        <v>224.15499999999975</v>
      </c>
      <c r="G14" s="28">
        <v>265.77399999999943</v>
      </c>
      <c r="H14" s="28">
        <v>216.32100000000082</v>
      </c>
      <c r="I14" s="46">
        <v>144.46999999999935</v>
      </c>
      <c r="J14" s="28">
        <v>163.00100000000111</v>
      </c>
      <c r="K14" s="28">
        <v>129.83500000000186</v>
      </c>
      <c r="L14" s="28">
        <v>84.647000000000844</v>
      </c>
      <c r="M14" s="28">
        <v>110.03300000000036</v>
      </c>
      <c r="N14" s="29">
        <v>1664.4920000000029</v>
      </c>
      <c r="P14" s="36"/>
      <c r="Q14" s="4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v>5290.1349999999993</v>
      </c>
      <c r="C15" s="24">
        <v>4734.6369999999997</v>
      </c>
      <c r="D15" s="24">
        <v>4862.5689999999995</v>
      </c>
      <c r="E15" s="24">
        <v>5378.0960000000005</v>
      </c>
      <c r="F15" s="24">
        <v>5603.7499999999991</v>
      </c>
      <c r="G15" s="24">
        <v>5296.7750000000005</v>
      </c>
      <c r="H15" s="24">
        <v>5480.9599999999991</v>
      </c>
      <c r="I15" s="24">
        <v>5380.7840000000006</v>
      </c>
      <c r="J15" s="24">
        <v>5122.7049999999999</v>
      </c>
      <c r="K15" s="24">
        <v>4604.320999999999</v>
      </c>
      <c r="L15" s="24">
        <v>4745.9989999999998</v>
      </c>
      <c r="M15" s="24">
        <v>5627.0060000000003</v>
      </c>
      <c r="N15" s="25">
        <v>62127.737000000001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213.38499999999999</v>
      </c>
      <c r="C16" s="2">
        <v>205.18</v>
      </c>
      <c r="D16" s="2">
        <v>178.07599999999999</v>
      </c>
      <c r="E16" s="2">
        <v>209.84100000000001</v>
      </c>
      <c r="F16" s="2">
        <v>240.75299999999999</v>
      </c>
      <c r="G16" s="2">
        <v>234.94800000000001</v>
      </c>
      <c r="H16" s="2">
        <v>245.333</v>
      </c>
      <c r="I16" s="2">
        <v>241.398</v>
      </c>
      <c r="J16" s="2">
        <v>252.297</v>
      </c>
      <c r="K16" s="2">
        <v>230.65899999999999</v>
      </c>
      <c r="L16" s="2">
        <v>211.61600000000001</v>
      </c>
      <c r="M16" s="2">
        <v>241.25299999999999</v>
      </c>
      <c r="N16" s="4">
        <v>2704.739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119.464</v>
      </c>
      <c r="C18" s="2">
        <v>119.22499999999999</v>
      </c>
      <c r="D18" s="2">
        <v>93.215000000000003</v>
      </c>
      <c r="E18" s="2">
        <v>84.915999999999997</v>
      </c>
      <c r="F18" s="2">
        <v>88.162999999999997</v>
      </c>
      <c r="G18" s="2">
        <v>59.34</v>
      </c>
      <c r="H18" s="2">
        <v>101.786</v>
      </c>
      <c r="I18" s="2">
        <v>86.073999999999998</v>
      </c>
      <c r="J18" s="2">
        <v>89.572000000000003</v>
      </c>
      <c r="K18" s="2">
        <v>84.278000000000006</v>
      </c>
      <c r="L18" s="2">
        <v>83.606999999999999</v>
      </c>
      <c r="M18" s="2">
        <v>91.042000000000002</v>
      </c>
      <c r="N18" s="4">
        <v>1100.6819999999998</v>
      </c>
    </row>
    <row r="19" spans="1:29" ht="16.5" customHeight="1" x14ac:dyDescent="0.2">
      <c r="A19" s="9" t="s">
        <v>17</v>
      </c>
      <c r="B19" s="3">
        <v>15.921999999999997</v>
      </c>
      <c r="C19" s="2">
        <v>11.129999999999995</v>
      </c>
      <c r="D19" s="2">
        <v>2.902000000000001</v>
      </c>
      <c r="E19" s="2">
        <v>0</v>
      </c>
      <c r="F19" s="2">
        <v>0</v>
      </c>
      <c r="G19" s="2">
        <v>0</v>
      </c>
      <c r="H19" s="2">
        <v>3.1970000000000027</v>
      </c>
      <c r="I19" s="2">
        <v>1.480000000000004</v>
      </c>
      <c r="J19" s="2">
        <v>0</v>
      </c>
      <c r="K19" s="2">
        <v>0</v>
      </c>
      <c r="L19" s="2">
        <v>0</v>
      </c>
      <c r="M19" s="2">
        <v>0</v>
      </c>
      <c r="N19" s="4">
        <v>34.631</v>
      </c>
    </row>
    <row r="20" spans="1:29" ht="16.5" customHeight="1" x14ac:dyDescent="0.2">
      <c r="A20" s="9" t="s">
        <v>18</v>
      </c>
      <c r="B20" s="3">
        <v>134.56800000000001</v>
      </c>
      <c r="C20" s="2">
        <v>149.196</v>
      </c>
      <c r="D20" s="2">
        <v>154.834</v>
      </c>
      <c r="E20" s="2">
        <v>156.90100000000001</v>
      </c>
      <c r="F20" s="2">
        <v>156.36000000000001</v>
      </c>
      <c r="G20" s="2">
        <v>135.79599999999999</v>
      </c>
      <c r="H20" s="2">
        <v>134.678</v>
      </c>
      <c r="I20" s="2">
        <v>145.036</v>
      </c>
      <c r="J20" s="2">
        <v>127.80800000000001</v>
      </c>
      <c r="K20" s="2">
        <v>114.739</v>
      </c>
      <c r="L20" s="2">
        <v>117.018</v>
      </c>
      <c r="M20" s="2">
        <v>151.755</v>
      </c>
      <c r="N20" s="4">
        <v>1678.6889999999999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v>0</v>
      </c>
    </row>
    <row r="22" spans="1:29" ht="16.5" customHeight="1" x14ac:dyDescent="0.2">
      <c r="A22" s="9" t="s">
        <v>20</v>
      </c>
      <c r="B22" s="3">
        <v>106.532</v>
      </c>
      <c r="C22" s="2">
        <v>69.27</v>
      </c>
      <c r="D22" s="2">
        <v>95.421000000000006</v>
      </c>
      <c r="E22" s="2">
        <v>108.548</v>
      </c>
      <c r="F22" s="2">
        <v>115.06</v>
      </c>
      <c r="G22" s="2">
        <v>102.601</v>
      </c>
      <c r="H22" s="2">
        <v>106.503</v>
      </c>
      <c r="I22" s="2">
        <v>106.374</v>
      </c>
      <c r="J22" s="2">
        <v>101.167</v>
      </c>
      <c r="K22" s="2">
        <v>100.88800000000001</v>
      </c>
      <c r="L22" s="2">
        <v>88.591999999999999</v>
      </c>
      <c r="M22" s="2">
        <v>110.84399999999999</v>
      </c>
      <c r="N22" s="4">
        <v>1211.8000000000002</v>
      </c>
    </row>
    <row r="23" spans="1:29" ht="16.5" customHeight="1" x14ac:dyDescent="0.2">
      <c r="A23" s="9" t="s">
        <v>21</v>
      </c>
      <c r="B23" s="3">
        <v>5.2370000000000001</v>
      </c>
      <c r="C23" s="2">
        <v>4.0999999999999996</v>
      </c>
      <c r="D23" s="2">
        <v>4.4770000000000003</v>
      </c>
      <c r="E23" s="2">
        <v>6.3079999999999998</v>
      </c>
      <c r="F23" s="2">
        <v>2.4729999999999999</v>
      </c>
      <c r="G23" s="2">
        <v>6.6440000000000001</v>
      </c>
      <c r="H23" s="2">
        <v>1.829</v>
      </c>
      <c r="I23" s="2">
        <v>3.3879999999999999</v>
      </c>
      <c r="J23" s="2">
        <v>9.7029999999999994</v>
      </c>
      <c r="K23" s="2">
        <v>6.1840000000000002</v>
      </c>
      <c r="L23" s="2">
        <v>10.101000000000001</v>
      </c>
      <c r="M23" s="2">
        <v>5.5990000000000002</v>
      </c>
      <c r="N23" s="4">
        <v>66.042999999999992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v>0</v>
      </c>
    </row>
    <row r="25" spans="1:29" ht="16.5" customHeight="1" x14ac:dyDescent="0.2">
      <c r="A25" s="9" t="s">
        <v>23</v>
      </c>
      <c r="B25" s="3">
        <v>768.10799999999995</v>
      </c>
      <c r="C25" s="2">
        <v>665.39099999999996</v>
      </c>
      <c r="D25" s="2">
        <v>661.35500000000002</v>
      </c>
      <c r="E25" s="2">
        <v>703.44600000000003</v>
      </c>
      <c r="F25" s="2">
        <v>760.86199999999997</v>
      </c>
      <c r="G25" s="2">
        <v>779.62599999999998</v>
      </c>
      <c r="H25" s="2">
        <v>834.49599999999998</v>
      </c>
      <c r="I25" s="2">
        <v>767.45700000000011</v>
      </c>
      <c r="J25" s="2">
        <v>716.81100000000004</v>
      </c>
      <c r="K25" s="2">
        <v>566.29500000000007</v>
      </c>
      <c r="L25" s="2">
        <v>658.28600000000006</v>
      </c>
      <c r="M25" s="2">
        <v>718.63700000000006</v>
      </c>
      <c r="N25" s="4">
        <v>8600.77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v>0</v>
      </c>
    </row>
    <row r="28" spans="1:29" ht="16.5" customHeight="1" x14ac:dyDescent="0.2">
      <c r="A28" s="9" t="s">
        <v>26</v>
      </c>
      <c r="B28" s="3">
        <v>32.287999999999997</v>
      </c>
      <c r="C28" s="2">
        <v>15.388</v>
      </c>
      <c r="D28" s="2">
        <v>29.850999999999999</v>
      </c>
      <c r="E28" s="2">
        <v>32.719000000000001</v>
      </c>
      <c r="F28" s="2">
        <v>42.328000000000003</v>
      </c>
      <c r="G28" s="2">
        <v>38.795999999999999</v>
      </c>
      <c r="H28" s="2">
        <v>34.92</v>
      </c>
      <c r="I28" s="2">
        <v>40.886000000000003</v>
      </c>
      <c r="J28" s="2">
        <v>45.869</v>
      </c>
      <c r="K28" s="2">
        <v>34.929000000000002</v>
      </c>
      <c r="L28" s="2">
        <v>39.470999999999997</v>
      </c>
      <c r="M28" s="2">
        <v>40.048000000000002</v>
      </c>
      <c r="N28" s="4">
        <v>427.49299999999994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v>0</v>
      </c>
    </row>
    <row r="30" spans="1:29" ht="16.5" customHeight="1" x14ac:dyDescent="0.2">
      <c r="A30" s="9" t="s">
        <v>28</v>
      </c>
      <c r="B30" s="3">
        <v>747.51199999999994</v>
      </c>
      <c r="C30" s="2">
        <v>698.096</v>
      </c>
      <c r="D30" s="2">
        <v>754.61300000000006</v>
      </c>
      <c r="E30" s="2">
        <v>834.24099999999999</v>
      </c>
      <c r="F30" s="2">
        <v>896.36699999999996</v>
      </c>
      <c r="G30" s="2">
        <v>835.00099999999998</v>
      </c>
      <c r="H30" s="2">
        <v>799.19399999999996</v>
      </c>
      <c r="I30" s="2">
        <v>783.30100000000004</v>
      </c>
      <c r="J30" s="2">
        <v>748.19600000000003</v>
      </c>
      <c r="K30" s="2">
        <v>618.09500000000003</v>
      </c>
      <c r="L30" s="2">
        <v>616.89700000000005</v>
      </c>
      <c r="M30" s="2">
        <v>822.19100000000003</v>
      </c>
      <c r="N30" s="4">
        <v>9153.7040000000015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v>0</v>
      </c>
    </row>
    <row r="32" spans="1:29" ht="16.5" customHeight="1" x14ac:dyDescent="0.2">
      <c r="A32" s="9" t="s">
        <v>30</v>
      </c>
      <c r="B32" s="3">
        <v>265.45</v>
      </c>
      <c r="C32" s="2">
        <v>229.20400000000001</v>
      </c>
      <c r="D32" s="2">
        <v>204.726</v>
      </c>
      <c r="E32" s="2">
        <v>247.84700000000001</v>
      </c>
      <c r="F32" s="2">
        <v>272</v>
      </c>
      <c r="G32" s="2">
        <v>241.643</v>
      </c>
      <c r="H32" s="2">
        <v>278.12099999999998</v>
      </c>
      <c r="I32" s="2">
        <v>278.99299999999999</v>
      </c>
      <c r="J32" s="2">
        <v>242.12899999999999</v>
      </c>
      <c r="K32" s="2">
        <v>207.30199999999999</v>
      </c>
      <c r="L32" s="2">
        <v>247.46299999999999</v>
      </c>
      <c r="M32" s="2">
        <v>247.571</v>
      </c>
      <c r="N32" s="4">
        <v>2962.4490000000001</v>
      </c>
    </row>
    <row r="33" spans="1:14" ht="16.5" customHeight="1" x14ac:dyDescent="0.2">
      <c r="A33" s="9" t="s">
        <v>31</v>
      </c>
      <c r="B33" s="3">
        <v>44.585999999999999</v>
      </c>
      <c r="C33" s="2">
        <v>38.549999999999997</v>
      </c>
      <c r="D33" s="2">
        <v>26.573</v>
      </c>
      <c r="E33" s="2">
        <v>33.424999999999997</v>
      </c>
      <c r="F33" s="2">
        <v>15.250999999999999</v>
      </c>
      <c r="G33" s="2">
        <v>32.457999999999998</v>
      </c>
      <c r="H33" s="2">
        <v>23.808</v>
      </c>
      <c r="I33" s="2">
        <v>25.007999999999999</v>
      </c>
      <c r="J33" s="2">
        <v>33.121000000000002</v>
      </c>
      <c r="K33" s="2">
        <v>44.704000000000001</v>
      </c>
      <c r="L33" s="2">
        <v>43.436</v>
      </c>
      <c r="M33" s="2">
        <v>43.365000000000002</v>
      </c>
      <c r="N33" s="4">
        <v>404.28500000000003</v>
      </c>
    </row>
    <row r="34" spans="1:14" ht="16.5" customHeight="1" x14ac:dyDescent="0.2">
      <c r="A34" s="9" t="s">
        <v>32</v>
      </c>
      <c r="B34" s="3">
        <v>11.762</v>
      </c>
      <c r="C34" s="2">
        <v>8.5579999999999998</v>
      </c>
      <c r="D34" s="2">
        <v>9.6829999999999998</v>
      </c>
      <c r="E34" s="2">
        <v>3.9180000000000001</v>
      </c>
      <c r="F34" s="2">
        <v>2.9260000000000002</v>
      </c>
      <c r="G34" s="2">
        <v>1.306</v>
      </c>
      <c r="H34" s="2">
        <v>0.84</v>
      </c>
      <c r="I34" s="2">
        <v>0</v>
      </c>
      <c r="J34" s="2">
        <v>1.4259999999999999</v>
      </c>
      <c r="K34" s="2">
        <v>4.9359999999999999</v>
      </c>
      <c r="L34" s="2">
        <v>2.1789999999999998</v>
      </c>
      <c r="M34" s="2">
        <v>1.863</v>
      </c>
      <c r="N34" s="4">
        <v>49.397000000000006</v>
      </c>
    </row>
    <row r="35" spans="1:14" ht="16.5" customHeight="1" x14ac:dyDescent="0.2">
      <c r="A35" s="9" t="s">
        <v>33</v>
      </c>
      <c r="B35" s="3">
        <v>76.876999999999995</v>
      </c>
      <c r="C35" s="2">
        <v>71.778999999999996</v>
      </c>
      <c r="D35" s="2">
        <v>70.617999999999995</v>
      </c>
      <c r="E35" s="2">
        <v>77.403999999999996</v>
      </c>
      <c r="F35" s="2">
        <v>81.959000000000003</v>
      </c>
      <c r="G35" s="2">
        <v>78.858000000000004</v>
      </c>
      <c r="H35" s="2">
        <v>78.212999999999994</v>
      </c>
      <c r="I35" s="2">
        <v>55.491999999999997</v>
      </c>
      <c r="J35" s="2">
        <v>77.816999999999993</v>
      </c>
      <c r="K35" s="2">
        <v>69.843999999999994</v>
      </c>
      <c r="L35" s="2">
        <v>64.608000000000004</v>
      </c>
      <c r="M35" s="2">
        <v>90.683000000000007</v>
      </c>
      <c r="N35" s="4">
        <v>894.15199999999982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v>0</v>
      </c>
    </row>
    <row r="37" spans="1:14" ht="16.5" customHeight="1" x14ac:dyDescent="0.2">
      <c r="A37" s="9" t="s">
        <v>35</v>
      </c>
      <c r="B37" s="3">
        <v>1756.2249999999999</v>
      </c>
      <c r="C37" s="2">
        <v>1619.769</v>
      </c>
      <c r="D37" s="2">
        <v>1704.5360000000001</v>
      </c>
      <c r="E37" s="2">
        <v>1852.952</v>
      </c>
      <c r="F37" s="2">
        <v>2014.6030000000001</v>
      </c>
      <c r="G37" s="2">
        <v>1858.2270000000003</v>
      </c>
      <c r="H37" s="2">
        <v>1929.2740000000001</v>
      </c>
      <c r="I37" s="2">
        <v>1847.586</v>
      </c>
      <c r="J37" s="2">
        <v>1736.713</v>
      </c>
      <c r="K37" s="2">
        <v>1668.7279999999998</v>
      </c>
      <c r="L37" s="2">
        <v>1709.4480000000003</v>
      </c>
      <c r="M37" s="2">
        <v>2014.9459999999999</v>
      </c>
      <c r="N37" s="4">
        <v>21713.006999999998</v>
      </c>
    </row>
    <row r="38" spans="1:14" ht="16.5" customHeight="1" x14ac:dyDescent="0.2">
      <c r="A38" s="9" t="s">
        <v>36</v>
      </c>
      <c r="B38" s="3">
        <v>16.651</v>
      </c>
      <c r="C38" s="2">
        <v>4.3819999999999997</v>
      </c>
      <c r="D38" s="2">
        <v>4.8849999999999998</v>
      </c>
      <c r="E38" s="2">
        <v>7.9939999999999998</v>
      </c>
      <c r="F38" s="2">
        <v>16.963999999999999</v>
      </c>
      <c r="G38" s="2">
        <v>24.558</v>
      </c>
      <c r="H38" s="2">
        <v>11.545999999999999</v>
      </c>
      <c r="I38" s="2">
        <v>6.258</v>
      </c>
      <c r="J38" s="2">
        <v>7.7960000000000003</v>
      </c>
      <c r="K38" s="2">
        <v>10.807</v>
      </c>
      <c r="L38" s="2">
        <v>8.9429999999999996</v>
      </c>
      <c r="M38" s="2">
        <v>10.423999999999999</v>
      </c>
      <c r="N38" s="4">
        <v>131.208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v>0</v>
      </c>
    </row>
    <row r="41" spans="1:14" ht="16.5" customHeight="1" x14ac:dyDescent="0.2">
      <c r="A41" s="9" t="s">
        <v>39</v>
      </c>
      <c r="B41" s="3">
        <v>4.5999999999999999E-2</v>
      </c>
      <c r="C41" s="2">
        <v>0.04</v>
      </c>
      <c r="D41" s="2">
        <v>0.13800000000000001</v>
      </c>
      <c r="E41" s="2">
        <v>0.39900000000000002</v>
      </c>
      <c r="F41" s="2">
        <v>4.5999999999999999E-2</v>
      </c>
      <c r="G41" s="2">
        <v>4.3999999999999997E-2</v>
      </c>
      <c r="H41" s="2">
        <v>4.4999999999999998E-2</v>
      </c>
      <c r="I41" s="2">
        <v>4.5999999999999999E-2</v>
      </c>
      <c r="J41" s="2">
        <v>4.4999999999999998E-2</v>
      </c>
      <c r="K41" s="2">
        <v>4.4999999999999998E-2</v>
      </c>
      <c r="L41" s="2">
        <v>3.4000000000000002E-2</v>
      </c>
      <c r="M41" s="2">
        <v>4.3999999999999997E-2</v>
      </c>
      <c r="N41" s="4">
        <v>0.97200000000000031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7.0000000000000001E-3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v>7.0000000000000001E-3</v>
      </c>
    </row>
    <row r="43" spans="1:14" ht="16.5" customHeight="1" x14ac:dyDescent="0.2">
      <c r="A43" s="9" t="s">
        <v>40</v>
      </c>
      <c r="B43" s="3">
        <v>319.52999999999997</v>
      </c>
      <c r="C43" s="2">
        <v>248.13499999999999</v>
      </c>
      <c r="D43" s="2">
        <v>305.09300000000002</v>
      </c>
      <c r="E43" s="2">
        <v>287.19400000000002</v>
      </c>
      <c r="F43" s="2">
        <v>282.84899999999999</v>
      </c>
      <c r="G43" s="2">
        <v>334.89299999999997</v>
      </c>
      <c r="H43" s="2">
        <v>346.00200000000001</v>
      </c>
      <c r="I43" s="2">
        <v>338.74900000000002</v>
      </c>
      <c r="J43" s="2">
        <v>295.59800000000001</v>
      </c>
      <c r="K43" s="2">
        <v>261.52800000000002</v>
      </c>
      <c r="L43" s="2">
        <v>281.52800000000002</v>
      </c>
      <c r="M43" s="2">
        <v>340.82100000000003</v>
      </c>
      <c r="N43" s="4">
        <v>3641.92</v>
      </c>
    </row>
    <row r="44" spans="1:14" ht="16.5" customHeight="1" x14ac:dyDescent="0.2">
      <c r="A44" s="9" t="s">
        <v>41</v>
      </c>
      <c r="B44" s="3">
        <v>27.42</v>
      </c>
      <c r="C44" s="2">
        <v>25.827999999999999</v>
      </c>
      <c r="D44" s="2">
        <v>29.242000000000001</v>
      </c>
      <c r="E44" s="2">
        <v>28.236999999999998</v>
      </c>
      <c r="F44" s="2">
        <v>33.552999999999997</v>
      </c>
      <c r="G44" s="2">
        <v>25.202999999999999</v>
      </c>
      <c r="H44" s="2">
        <v>33.734000000000002</v>
      </c>
      <c r="I44" s="2">
        <v>29.384</v>
      </c>
      <c r="J44" s="2">
        <v>31.096</v>
      </c>
      <c r="K44" s="2">
        <v>28.491</v>
      </c>
      <c r="L44" s="2">
        <v>21.648</v>
      </c>
      <c r="M44" s="2">
        <v>27.276</v>
      </c>
      <c r="N44" s="4">
        <v>341.11200000000002</v>
      </c>
    </row>
    <row r="45" spans="1:14" ht="16.5" customHeight="1" x14ac:dyDescent="0.2">
      <c r="A45" s="9" t="s">
        <v>42</v>
      </c>
      <c r="B45" s="3">
        <v>137.66999999999999</v>
      </c>
      <c r="C45" s="2">
        <v>119.684</v>
      </c>
      <c r="D45" s="2">
        <v>100.779</v>
      </c>
      <c r="E45" s="2">
        <v>136.857</v>
      </c>
      <c r="F45" s="2">
        <v>166.32400000000001</v>
      </c>
      <c r="G45" s="2">
        <v>155.505</v>
      </c>
      <c r="H45" s="2">
        <v>150.267</v>
      </c>
      <c r="I45" s="2">
        <v>142.24199999999999</v>
      </c>
      <c r="J45" s="2">
        <v>153.34200000000001</v>
      </c>
      <c r="K45" s="2">
        <v>142.69200000000001</v>
      </c>
      <c r="L45" s="2">
        <v>174.02099999999999</v>
      </c>
      <c r="M45" s="2">
        <v>136.191</v>
      </c>
      <c r="N45" s="4">
        <v>1715.5740000000001</v>
      </c>
    </row>
    <row r="46" spans="1:14" ht="16.5" customHeight="1" x14ac:dyDescent="0.2">
      <c r="A46" s="9" t="s">
        <v>43</v>
      </c>
      <c r="B46" s="3">
        <v>10.936</v>
      </c>
      <c r="C46" s="2">
        <v>12.324999999999999</v>
      </c>
      <c r="D46" s="2">
        <v>6.673</v>
      </c>
      <c r="E46" s="2">
        <v>10.801</v>
      </c>
      <c r="F46" s="2">
        <v>12.492000000000001</v>
      </c>
      <c r="G46" s="2">
        <v>7.3040000000000003</v>
      </c>
      <c r="H46" s="2">
        <v>18.3</v>
      </c>
      <c r="I46" s="2">
        <v>5.4560000000000004</v>
      </c>
      <c r="J46" s="2">
        <v>11.801</v>
      </c>
      <c r="K46" s="2">
        <v>9.7539999999999996</v>
      </c>
      <c r="L46" s="2">
        <v>3.2480000000000002</v>
      </c>
      <c r="M46" s="2">
        <v>10.988</v>
      </c>
      <c r="N46" s="4">
        <v>120.07800000000002</v>
      </c>
    </row>
    <row r="47" spans="1:14" ht="16.5" customHeight="1" x14ac:dyDescent="0.2">
      <c r="A47" s="9" t="s">
        <v>44</v>
      </c>
      <c r="B47" s="3">
        <v>6.5979999999999999</v>
      </c>
      <c r="C47" s="2">
        <v>6.806</v>
      </c>
      <c r="D47" s="2">
        <v>6.15</v>
      </c>
      <c r="E47" s="2">
        <v>7.3220000000000001</v>
      </c>
      <c r="F47" s="2">
        <v>8.1859999999999999</v>
      </c>
      <c r="G47" s="2">
        <v>4.6909999999999998</v>
      </c>
      <c r="H47" s="2">
        <v>6.5510000000000002</v>
      </c>
      <c r="I47" s="2">
        <v>6.7670000000000003</v>
      </c>
      <c r="J47" s="2">
        <v>7.9969999999999999</v>
      </c>
      <c r="K47" s="2">
        <v>5.681</v>
      </c>
      <c r="L47" s="2">
        <v>6.0330000000000004</v>
      </c>
      <c r="M47" s="2">
        <v>6.0419999999999998</v>
      </c>
      <c r="N47" s="4">
        <v>78.824000000000012</v>
      </c>
    </row>
    <row r="48" spans="1:14" ht="16.5" customHeight="1" x14ac:dyDescent="0.2">
      <c r="A48" s="9" t="s">
        <v>45</v>
      </c>
      <c r="B48" s="3">
        <v>280.64999999999998</v>
      </c>
      <c r="C48" s="2">
        <v>234.12</v>
      </c>
      <c r="D48" s="2">
        <v>227.88200000000001</v>
      </c>
      <c r="E48" s="2">
        <v>254.84899999999999</v>
      </c>
      <c r="F48" s="2">
        <v>294.29399999999998</v>
      </c>
      <c r="G48" s="2">
        <v>275.053</v>
      </c>
      <c r="H48" s="2">
        <v>297.03899999999999</v>
      </c>
      <c r="I48" s="2">
        <v>312.529</v>
      </c>
      <c r="J48" s="2">
        <v>295.44200000000001</v>
      </c>
      <c r="K48" s="2">
        <v>326.18700000000001</v>
      </c>
      <c r="L48" s="2">
        <v>317.89800000000002</v>
      </c>
      <c r="M48" s="2">
        <v>318.09100000000001</v>
      </c>
      <c r="N48" s="4">
        <v>3434.0340000000001</v>
      </c>
    </row>
    <row r="49" spans="1:14" ht="18" customHeight="1" x14ac:dyDescent="0.2">
      <c r="A49" s="10" t="s">
        <v>52</v>
      </c>
      <c r="B49" s="7">
        <v>192.71800000000076</v>
      </c>
      <c r="C49" s="5">
        <v>178.48100000000002</v>
      </c>
      <c r="D49" s="5">
        <v>190.84700000000066</v>
      </c>
      <c r="E49" s="5">
        <v>291.97699999999895</v>
      </c>
      <c r="F49" s="5">
        <v>99.937000000000012</v>
      </c>
      <c r="G49" s="5">
        <v>64.28</v>
      </c>
      <c r="H49" s="5">
        <v>45.276999999997315</v>
      </c>
      <c r="I49" s="5">
        <v>156.87999999999997</v>
      </c>
      <c r="J49" s="5">
        <v>136.959</v>
      </c>
      <c r="K49" s="5">
        <v>67.554999999999382</v>
      </c>
      <c r="L49" s="5">
        <v>39.923999999998159</v>
      </c>
      <c r="M49" s="5">
        <v>197.33199999999999</v>
      </c>
      <c r="N49" s="6">
        <v>1662.1669999999949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  <c r="N53" s="30"/>
    </row>
    <row r="54" spans="1:14" x14ac:dyDescent="0.2">
      <c r="I54"/>
      <c r="J54"/>
      <c r="K54"/>
      <c r="N54" s="30"/>
    </row>
    <row r="55" spans="1:14" x14ac:dyDescent="0.2">
      <c r="I55"/>
      <c r="J55"/>
      <c r="K55"/>
      <c r="N55" s="30"/>
    </row>
    <row r="56" spans="1:14" x14ac:dyDescent="0.2">
      <c r="I56"/>
      <c r="J56"/>
      <c r="K56"/>
      <c r="N56" s="30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14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14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14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14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14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A250"/>
  <sheetViews>
    <sheetView showGridLines="0" topLeftCell="G1" zoomScale="70" zoomScaleNormal="70" workbookViewId="0">
      <selection activeCell="A35" sqref="A35"/>
    </sheetView>
  </sheetViews>
  <sheetFormatPr baseColWidth="10" defaultColWidth="11.5" defaultRowHeight="14.25" x14ac:dyDescent="0.2"/>
  <cols>
    <col min="1" max="1" width="66.5" customWidth="1"/>
    <col min="7" max="8" width="11.5" customWidth="1"/>
    <col min="9" max="11" width="11.5" style="1" customWidth="1"/>
    <col min="12" max="13" width="11.5" customWidth="1"/>
    <col min="14" max="14" width="20.25" customWidth="1"/>
    <col min="15" max="15" width="3.75" customWidth="1"/>
    <col min="27" max="27" width="13.125" customWidth="1"/>
    <col min="43" max="43" width="9.75" customWidth="1"/>
    <col min="44" max="47" width="18.875" style="1" customWidth="1"/>
    <col min="48" max="48" width="13.75" style="1" customWidth="1"/>
    <col min="49" max="53" width="18.875" style="1" customWidth="1"/>
  </cols>
  <sheetData>
    <row r="1" spans="1:53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Q1" s="53"/>
      <c r="AE1" s="53"/>
    </row>
    <row r="2" spans="1:53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3" spans="1:53" x14ac:dyDescent="0.2">
      <c r="AV3" s="82"/>
    </row>
    <row r="4" spans="1:53" s="16" customFormat="1" ht="21" customHeight="1" x14ac:dyDescent="0.2">
      <c r="A4" s="11" t="s">
        <v>13</v>
      </c>
      <c r="B4" s="14">
        <v>44927</v>
      </c>
      <c r="C4" s="14">
        <v>44958</v>
      </c>
      <c r="D4" s="14">
        <v>44986</v>
      </c>
      <c r="E4" s="14">
        <v>45017</v>
      </c>
      <c r="F4" s="14">
        <v>45047</v>
      </c>
      <c r="G4" s="14">
        <v>45078</v>
      </c>
      <c r="H4" s="14">
        <v>45108</v>
      </c>
      <c r="I4" s="14">
        <v>45139</v>
      </c>
      <c r="J4" s="14">
        <v>45170</v>
      </c>
      <c r="K4" s="14">
        <v>45200</v>
      </c>
      <c r="L4" s="13">
        <v>45231</v>
      </c>
      <c r="M4" s="13">
        <v>45261</v>
      </c>
      <c r="N4" s="15" t="s">
        <v>58</v>
      </c>
      <c r="Q4" s="54"/>
      <c r="R4" s="54"/>
      <c r="S4" s="54"/>
      <c r="T4" s="54"/>
      <c r="U4" s="54"/>
      <c r="V4" s="54"/>
      <c r="W4" s="54"/>
      <c r="X4" s="54"/>
      <c r="Y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83"/>
      <c r="AS4" s="83"/>
      <c r="AT4" s="83"/>
      <c r="AU4" s="83"/>
      <c r="AV4" s="83"/>
      <c r="AW4" s="83"/>
      <c r="AX4" s="83"/>
      <c r="AY4" s="83"/>
      <c r="AZ4" s="83"/>
      <c r="BA4" s="83"/>
    </row>
    <row r="5" spans="1:53" s="21" customFormat="1" ht="21" customHeight="1" x14ac:dyDescent="0.2">
      <c r="A5" s="17" t="s">
        <v>0</v>
      </c>
      <c r="B5" s="18">
        <v>3.9E-2</v>
      </c>
      <c r="C5" s="19">
        <v>7.4999999999999997E-2</v>
      </c>
      <c r="D5" s="19">
        <v>7.1999999999999995E-2</v>
      </c>
      <c r="E5" s="19">
        <v>0</v>
      </c>
      <c r="F5" s="19">
        <v>1.0999999999999999E-2</v>
      </c>
      <c r="G5" s="19">
        <v>0.06</v>
      </c>
      <c r="H5" s="19">
        <v>7.0000000000000007E-2</v>
      </c>
      <c r="I5" s="45">
        <v>8.3000000000000004E-2</v>
      </c>
      <c r="J5" s="19">
        <v>0</v>
      </c>
      <c r="K5" s="19">
        <v>0.107</v>
      </c>
      <c r="L5" s="19">
        <v>1.7000000000000001E-2</v>
      </c>
      <c r="M5" s="19">
        <v>0.13800000000000001</v>
      </c>
      <c r="N5" s="20">
        <f>SUM(B5:M5)</f>
        <v>0.67200000000000004</v>
      </c>
      <c r="P5" s="34"/>
      <c r="Q5" s="34"/>
      <c r="R5" s="47"/>
      <c r="AR5" s="32"/>
      <c r="AS5" s="32"/>
      <c r="AT5" s="32"/>
      <c r="AU5" s="32"/>
      <c r="AV5" s="32"/>
      <c r="AW5" s="32"/>
      <c r="AX5" s="32"/>
      <c r="AY5" s="32"/>
      <c r="AZ5" s="32"/>
      <c r="BA5" s="32"/>
    </row>
    <row r="6" spans="1:53" s="21" customFormat="1" ht="21" customHeight="1" x14ac:dyDescent="0.2">
      <c r="A6" s="22" t="s">
        <v>1</v>
      </c>
      <c r="B6" s="23">
        <v>5487.3059999999996</v>
      </c>
      <c r="C6" s="24">
        <v>4809.8819999999996</v>
      </c>
      <c r="D6" s="24">
        <v>4692.058</v>
      </c>
      <c r="E6" s="24">
        <v>5619.31</v>
      </c>
      <c r="F6" s="24">
        <v>4796.7870000000003</v>
      </c>
      <c r="G6" s="24">
        <v>4856.4560000000001</v>
      </c>
      <c r="H6" s="24">
        <v>5529.4340000000002</v>
      </c>
      <c r="I6" s="24">
        <v>5484.9889999999996</v>
      </c>
      <c r="J6" s="24">
        <v>5087.9759999999997</v>
      </c>
      <c r="K6" s="24">
        <v>5304.4579999999996</v>
      </c>
      <c r="L6" s="24">
        <v>4796.5460000000003</v>
      </c>
      <c r="M6" s="24">
        <v>5093.4520000000002</v>
      </c>
      <c r="N6" s="25">
        <f>SUM(B6:M6)</f>
        <v>61558.654000000002</v>
      </c>
      <c r="P6" s="34"/>
      <c r="Q6" s="34"/>
      <c r="R6" s="47"/>
      <c r="AR6" s="32"/>
      <c r="AS6" s="32"/>
      <c r="AT6" s="32"/>
      <c r="AU6" s="84"/>
      <c r="AV6" s="85"/>
      <c r="AW6" s="32"/>
      <c r="AX6" s="32"/>
      <c r="AY6" s="32"/>
      <c r="AZ6" s="32"/>
      <c r="BA6" s="32"/>
    </row>
    <row r="7" spans="1:53" s="21" customFormat="1" ht="21" customHeight="1" x14ac:dyDescent="0.2">
      <c r="A7" s="26" t="s">
        <v>2</v>
      </c>
      <c r="B7" s="27">
        <v>-124.13900000000012</v>
      </c>
      <c r="C7" s="28">
        <v>167.08700000000044</v>
      </c>
      <c r="D7" s="28">
        <v>125.90899999999965</v>
      </c>
      <c r="E7" s="28">
        <v>-114.81800000000021</v>
      </c>
      <c r="F7" s="28">
        <v>-20.287000000000262</v>
      </c>
      <c r="G7" s="28">
        <v>-79.319999999999709</v>
      </c>
      <c r="H7" s="28">
        <v>-17.440999999999804</v>
      </c>
      <c r="I7" s="28">
        <v>155.89900000000034</v>
      </c>
      <c r="J7" s="28">
        <v>-163.60899999999947</v>
      </c>
      <c r="K7" s="28">
        <v>43.296000000000276</v>
      </c>
      <c r="L7" s="28">
        <v>-106.95700000000033</v>
      </c>
      <c r="M7" s="28">
        <v>-212.04200000000037</v>
      </c>
      <c r="N7" s="29">
        <f t="shared" ref="N7:N49" si="0">SUM(B7:M7)</f>
        <v>-346.42199999999957</v>
      </c>
      <c r="P7" s="34"/>
      <c r="Q7" s="34"/>
      <c r="R7" s="47"/>
      <c r="AR7" s="32"/>
      <c r="AS7" s="32"/>
      <c r="AT7" s="32"/>
      <c r="AU7" s="84"/>
      <c r="AV7" s="85"/>
      <c r="AW7" s="32"/>
      <c r="AX7" s="32"/>
      <c r="AY7" s="32"/>
      <c r="AZ7" s="32"/>
      <c r="BA7" s="32"/>
    </row>
    <row r="8" spans="1:53" s="21" customFormat="1" ht="21" customHeight="1" x14ac:dyDescent="0.2">
      <c r="A8" s="26" t="s">
        <v>3</v>
      </c>
      <c r="B8" s="27">
        <v>133.142</v>
      </c>
      <c r="C8" s="28">
        <v>252.18</v>
      </c>
      <c r="D8" s="28">
        <v>-243.44499999999999</v>
      </c>
      <c r="E8" s="28">
        <v>407.89299999999997</v>
      </c>
      <c r="F8" s="28">
        <v>-200.58600000000001</v>
      </c>
      <c r="G8" s="28">
        <v>24.064</v>
      </c>
      <c r="H8" s="28">
        <v>33.225999999999999</v>
      </c>
      <c r="I8" s="28">
        <v>93.311999999999998</v>
      </c>
      <c r="J8" s="28">
        <v>-320.77199999999999</v>
      </c>
      <c r="K8" s="28">
        <v>176.79</v>
      </c>
      <c r="L8" s="28">
        <v>-295.29300000000001</v>
      </c>
      <c r="M8" s="28">
        <v>-387.00400000000002</v>
      </c>
      <c r="N8" s="29">
        <f t="shared" si="0"/>
        <v>-326.49300000000005</v>
      </c>
      <c r="P8" s="34"/>
      <c r="Q8" s="34"/>
      <c r="R8" s="47"/>
      <c r="AR8" s="32"/>
      <c r="AS8" s="32"/>
      <c r="AT8" s="32"/>
      <c r="AU8" s="84"/>
      <c r="AV8" s="85"/>
      <c r="AW8" s="32"/>
      <c r="AX8" s="32"/>
      <c r="AY8" s="32"/>
      <c r="AZ8" s="32"/>
      <c r="BA8" s="32"/>
    </row>
    <row r="9" spans="1:53" s="21" customFormat="1" ht="21" customHeight="1" x14ac:dyDescent="0.2">
      <c r="A9" s="26" t="s">
        <v>4</v>
      </c>
      <c r="B9" s="27">
        <v>-26.078999999999994</v>
      </c>
      <c r="C9" s="28">
        <v>119.44900000000001</v>
      </c>
      <c r="D9" s="28">
        <v>141.161</v>
      </c>
      <c r="E9" s="28">
        <v>-122.75399999999996</v>
      </c>
      <c r="F9" s="28">
        <v>49.684000000000026</v>
      </c>
      <c r="G9" s="28">
        <v>9.9429999999999978</v>
      </c>
      <c r="H9" s="28">
        <v>8.9040000000000035</v>
      </c>
      <c r="I9" s="28">
        <v>165.02799999999996</v>
      </c>
      <c r="J9" s="28">
        <v>-96.096000000000004</v>
      </c>
      <c r="K9" s="28">
        <v>65.545000000000016</v>
      </c>
      <c r="L9" s="28">
        <v>-70.774999999999977</v>
      </c>
      <c r="M9" s="28">
        <v>-269.74599999999998</v>
      </c>
      <c r="N9" s="29">
        <f t="shared" si="0"/>
        <v>-25.735999999999933</v>
      </c>
      <c r="P9" s="34"/>
      <c r="Q9" s="34"/>
      <c r="R9" s="47"/>
      <c r="AR9" s="32"/>
      <c r="AS9" s="32"/>
      <c r="AT9" s="32"/>
      <c r="AU9" s="32"/>
      <c r="AV9" s="85"/>
      <c r="AW9" s="32"/>
      <c r="AX9" s="32"/>
      <c r="AY9" s="32"/>
      <c r="AZ9" s="32"/>
      <c r="BA9" s="32"/>
    </row>
    <row r="10" spans="1:53" s="21" customFormat="1" ht="21" customHeight="1" x14ac:dyDescent="0.2">
      <c r="A10" s="26" t="s">
        <v>5</v>
      </c>
      <c r="B10" s="27">
        <v>107.117</v>
      </c>
      <c r="C10" s="28">
        <v>21.338999999999999</v>
      </c>
      <c r="D10" s="28">
        <v>22.436</v>
      </c>
      <c r="E10" s="28">
        <v>39.403999999999996</v>
      </c>
      <c r="F10" s="28">
        <v>124.274</v>
      </c>
      <c r="G10" s="28">
        <v>187.14800000000002</v>
      </c>
      <c r="H10" s="28">
        <v>36.851999999999997</v>
      </c>
      <c r="I10" s="28">
        <v>158.27600000000001</v>
      </c>
      <c r="J10" s="28">
        <v>79.831000000000003</v>
      </c>
      <c r="K10" s="28">
        <v>34.192</v>
      </c>
      <c r="L10" s="28">
        <v>48.355000000000004</v>
      </c>
      <c r="M10" s="28">
        <v>40.655000000000001</v>
      </c>
      <c r="N10" s="29">
        <f t="shared" si="0"/>
        <v>899.87900000000002</v>
      </c>
      <c r="P10" s="34"/>
      <c r="Q10" s="34"/>
      <c r="R10" s="47"/>
      <c r="AR10" s="32"/>
      <c r="AS10" s="32"/>
      <c r="AT10" s="32"/>
      <c r="AU10" s="32"/>
      <c r="AV10" s="85"/>
      <c r="AW10" s="32"/>
      <c r="AX10" s="32"/>
      <c r="AY10" s="32"/>
      <c r="AZ10" s="32"/>
      <c r="BA10" s="32"/>
    </row>
    <row r="11" spans="1:53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55"/>
      <c r="R11" s="47"/>
      <c r="AR11" s="32"/>
      <c r="AS11" s="32"/>
      <c r="AT11" s="32"/>
      <c r="AU11" s="84"/>
      <c r="AV11" s="85"/>
      <c r="AW11" s="32"/>
      <c r="AX11" s="32"/>
      <c r="AY11" s="32"/>
      <c r="AZ11" s="32"/>
      <c r="BA11" s="32"/>
    </row>
    <row r="12" spans="1:53" s="31" customFormat="1" ht="21" customHeight="1" x14ac:dyDescent="0.2">
      <c r="A12" s="22" t="s">
        <v>7</v>
      </c>
      <c r="B12" s="24">
        <v>5363.2599999999993</v>
      </c>
      <c r="C12" s="24">
        <v>4626.7539999999999</v>
      </c>
      <c r="D12" s="24">
        <v>4942.7589999999991</v>
      </c>
      <c r="E12" s="24">
        <v>5258.7569999999996</v>
      </c>
      <c r="F12" s="24">
        <v>5051.6870000000008</v>
      </c>
      <c r="G12" s="24">
        <v>4930.3370000000004</v>
      </c>
      <c r="H12" s="24">
        <v>5506.7849999999999</v>
      </c>
      <c r="I12" s="24">
        <v>5540.9069999999992</v>
      </c>
      <c r="J12" s="24">
        <v>5421.0660000000007</v>
      </c>
      <c r="K12" s="24">
        <v>5139.7179999999998</v>
      </c>
      <c r="L12" s="24">
        <v>5104.0289999999986</v>
      </c>
      <c r="M12" s="24">
        <v>5578.9529999999995</v>
      </c>
      <c r="N12" s="25">
        <f>SUM(B12:M12)</f>
        <v>62465.011999999995</v>
      </c>
      <c r="P12" s="34"/>
      <c r="Q12" s="34"/>
      <c r="R12" s="47"/>
      <c r="S12" s="56"/>
      <c r="T12" s="56"/>
      <c r="U12" s="56"/>
      <c r="V12" s="56"/>
      <c r="W12" s="56"/>
      <c r="X12" s="56"/>
      <c r="Y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86"/>
      <c r="AS12" s="86"/>
      <c r="AT12" s="86"/>
      <c r="AU12" s="84"/>
      <c r="AV12" s="87"/>
      <c r="AW12" s="86"/>
      <c r="AX12" s="86"/>
      <c r="AY12" s="86"/>
      <c r="AZ12" s="86"/>
      <c r="BA12" s="86"/>
    </row>
    <row r="13" spans="1:53" s="21" customFormat="1" ht="21" customHeight="1" x14ac:dyDescent="0.2">
      <c r="A13" s="26" t="s">
        <v>12</v>
      </c>
      <c r="B13" s="27">
        <v>5354.2030000000004</v>
      </c>
      <c r="C13" s="28">
        <v>4557.777</v>
      </c>
      <c r="D13" s="28">
        <v>4935.5749999999998</v>
      </c>
      <c r="E13" s="28">
        <v>5211.4170000000004</v>
      </c>
      <c r="F13" s="28">
        <v>4997.384</v>
      </c>
      <c r="G13" s="28">
        <v>4832.4520000000002</v>
      </c>
      <c r="H13" s="28">
        <v>5496.2780000000002</v>
      </c>
      <c r="I13" s="28">
        <v>5391.76</v>
      </c>
      <c r="J13" s="28">
        <v>5408.7479999999996</v>
      </c>
      <c r="K13" s="28">
        <v>5127.7749999999996</v>
      </c>
      <c r="L13" s="28">
        <v>5091.8559999999998</v>
      </c>
      <c r="M13" s="28">
        <v>5480.5940000000001</v>
      </c>
      <c r="N13" s="29">
        <f t="shared" si="0"/>
        <v>61885.819000000003</v>
      </c>
      <c r="P13" s="34"/>
      <c r="Q13" s="34"/>
      <c r="R13" s="47"/>
      <c r="AR13" s="32"/>
      <c r="AS13" s="32"/>
      <c r="AT13" s="32"/>
      <c r="AU13" s="84"/>
      <c r="AV13" s="85"/>
      <c r="AW13" s="32"/>
      <c r="AX13" s="32"/>
      <c r="AY13" s="32"/>
      <c r="AZ13" s="32"/>
      <c r="BA13" s="32"/>
    </row>
    <row r="14" spans="1:53" s="21" customFormat="1" ht="21" customHeight="1" x14ac:dyDescent="0.2">
      <c r="A14" s="26" t="s">
        <v>8</v>
      </c>
      <c r="B14" s="27">
        <v>173.92499999999836</v>
      </c>
      <c r="C14" s="28">
        <v>20.082000000001244</v>
      </c>
      <c r="D14" s="28">
        <v>155.42199999999866</v>
      </c>
      <c r="E14" s="28">
        <v>50.17699999999968</v>
      </c>
      <c r="F14" s="28">
        <v>30.166000000001077</v>
      </c>
      <c r="G14" s="28">
        <v>12.653000000002066</v>
      </c>
      <c r="H14" s="28">
        <v>207.57600000000093</v>
      </c>
      <c r="I14" s="46">
        <v>5.1539999999995416</v>
      </c>
      <c r="J14" s="28">
        <v>87.34900000000107</v>
      </c>
      <c r="K14" s="28">
        <v>7.6409999999996217</v>
      </c>
      <c r="L14" s="28">
        <v>148.61899999999878</v>
      </c>
      <c r="M14" s="28">
        <v>83.568999999998596</v>
      </c>
      <c r="N14" s="29">
        <f t="shared" si="0"/>
        <v>982.33299999999963</v>
      </c>
      <c r="P14" s="36"/>
      <c r="Q14" s="34"/>
      <c r="R14" s="47"/>
      <c r="S14" s="42"/>
      <c r="T14" s="42"/>
      <c r="U14" s="42"/>
      <c r="V14" s="42"/>
      <c r="W14" s="42"/>
      <c r="X14" s="42"/>
      <c r="Y14" s="42"/>
      <c r="AA14" s="42"/>
      <c r="AB14" s="42"/>
      <c r="AC14" s="42"/>
      <c r="AD14" s="42"/>
      <c r="AR14" s="32"/>
      <c r="AS14" s="32"/>
      <c r="AT14" s="32"/>
      <c r="AU14" s="84"/>
      <c r="AV14" s="85"/>
      <c r="AW14" s="32"/>
      <c r="AX14" s="32"/>
      <c r="AY14" s="32"/>
      <c r="AZ14" s="32"/>
      <c r="BA14" s="32"/>
    </row>
    <row r="15" spans="1:53" s="32" customFormat="1" ht="21" customHeight="1" x14ac:dyDescent="0.2">
      <c r="A15" s="22" t="s">
        <v>9</v>
      </c>
      <c r="B15" s="24">
        <v>5189.3350000000009</v>
      </c>
      <c r="C15" s="24">
        <v>4606.6719999999987</v>
      </c>
      <c r="D15" s="24">
        <v>4787.3370000000004</v>
      </c>
      <c r="E15" s="24">
        <v>5208.58</v>
      </c>
      <c r="F15" s="24">
        <v>5021.5209999999997</v>
      </c>
      <c r="G15" s="24">
        <v>4917.6839999999993</v>
      </c>
      <c r="H15" s="24">
        <v>5299.2089999999989</v>
      </c>
      <c r="I15" s="24">
        <v>5535.7529999999997</v>
      </c>
      <c r="J15" s="24">
        <v>5333.7169999999996</v>
      </c>
      <c r="K15" s="24">
        <v>5132.0770000000002</v>
      </c>
      <c r="L15" s="24">
        <v>4955.4100000000008</v>
      </c>
      <c r="M15" s="24">
        <v>5495.3840000000009</v>
      </c>
      <c r="N15" s="25">
        <f t="shared" si="0"/>
        <v>61482.678999999996</v>
      </c>
      <c r="Q15" s="21"/>
      <c r="R15" s="42"/>
      <c r="S15" s="42"/>
      <c r="T15" s="42"/>
      <c r="U15" s="42"/>
      <c r="V15" s="42"/>
      <c r="W15" s="42"/>
      <c r="X15" s="42"/>
      <c r="Y15" s="42"/>
      <c r="AA15" s="42"/>
      <c r="AB15" s="42"/>
      <c r="AC15" s="42"/>
      <c r="AD15" s="42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U15" s="84"/>
      <c r="AV15" s="85"/>
    </row>
    <row r="16" spans="1:53" ht="16.5" customHeight="1" x14ac:dyDescent="0.2">
      <c r="A16" s="9" t="s">
        <v>14</v>
      </c>
      <c r="B16" s="3">
        <v>231.304</v>
      </c>
      <c r="C16" s="2">
        <v>169.786</v>
      </c>
      <c r="D16" s="2">
        <v>159.54599999999999</v>
      </c>
      <c r="E16" s="2">
        <v>175.762</v>
      </c>
      <c r="F16" s="2">
        <v>166.983</v>
      </c>
      <c r="G16" s="2">
        <v>176.08099999999999</v>
      </c>
      <c r="H16" s="2">
        <v>183.81200000000001</v>
      </c>
      <c r="I16" s="2">
        <v>174.822</v>
      </c>
      <c r="J16" s="2">
        <v>173.73699999999999</v>
      </c>
      <c r="K16" s="2">
        <v>169.50700000000001</v>
      </c>
      <c r="L16" s="2">
        <v>140.24600000000001</v>
      </c>
      <c r="M16" s="2">
        <v>172.76499999999999</v>
      </c>
      <c r="N16" s="4">
        <f t="shared" si="0"/>
        <v>2094.3510000000001</v>
      </c>
    </row>
    <row r="17" spans="1:4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R17" s="38"/>
      <c r="S17" s="38"/>
      <c r="T17" s="38"/>
      <c r="U17" s="38"/>
      <c r="V17" s="38"/>
      <c r="W17" s="38"/>
      <c r="X17" s="38"/>
      <c r="Y17" s="38"/>
      <c r="AA17" s="38"/>
      <c r="AB17" s="38"/>
      <c r="AC17" s="38"/>
      <c r="AD17" s="38"/>
      <c r="AE17" s="38"/>
      <c r="AU17" s="88"/>
      <c r="AV17" s="89"/>
      <c r="AW17" s="89"/>
    </row>
    <row r="18" spans="1:49" ht="16.5" customHeight="1" x14ac:dyDescent="0.2">
      <c r="A18" s="9" t="s">
        <v>16</v>
      </c>
      <c r="B18" s="3">
        <v>92.911000000000001</v>
      </c>
      <c r="C18" s="2">
        <v>85.721000000000004</v>
      </c>
      <c r="D18" s="2">
        <v>79.081000000000003</v>
      </c>
      <c r="E18" s="2">
        <v>81.849999999999994</v>
      </c>
      <c r="F18" s="2">
        <v>88.628</v>
      </c>
      <c r="G18" s="2">
        <v>67.983999999999995</v>
      </c>
      <c r="H18" s="2">
        <v>82.361999999999995</v>
      </c>
      <c r="I18" s="2">
        <v>82.034999999999997</v>
      </c>
      <c r="J18" s="2">
        <v>73.355999999999995</v>
      </c>
      <c r="K18" s="2">
        <v>91.206999999999994</v>
      </c>
      <c r="L18" s="2">
        <v>111.19</v>
      </c>
      <c r="M18" s="2">
        <v>119.40300000000001</v>
      </c>
      <c r="N18" s="4">
        <f t="shared" si="0"/>
        <v>1055.7279999999998</v>
      </c>
      <c r="AU18" s="88"/>
      <c r="AV18" s="89"/>
      <c r="AW18" s="89"/>
    </row>
    <row r="19" spans="1:49" ht="16.5" customHeight="1" x14ac:dyDescent="0.2">
      <c r="A19" s="9" t="s">
        <v>17</v>
      </c>
      <c r="B19" s="3">
        <v>0</v>
      </c>
      <c r="C19" s="2">
        <v>25.503</v>
      </c>
      <c r="D19" s="2">
        <v>3.5169999999999959</v>
      </c>
      <c r="E19" s="2">
        <v>2.1740000000000066</v>
      </c>
      <c r="F19" s="2">
        <v>5.367999999999995</v>
      </c>
      <c r="G19" s="2">
        <v>0</v>
      </c>
      <c r="H19" s="2">
        <v>9.9540000000000077</v>
      </c>
      <c r="I19" s="2">
        <v>8.9690000000000083</v>
      </c>
      <c r="J19" s="2">
        <v>0</v>
      </c>
      <c r="K19" s="2">
        <v>8.9720000000000084</v>
      </c>
      <c r="L19" s="2">
        <v>38.56</v>
      </c>
      <c r="M19" s="2">
        <v>35.778000000000006</v>
      </c>
      <c r="N19" s="4">
        <f t="shared" si="0"/>
        <v>138.79500000000002</v>
      </c>
      <c r="AU19" s="88"/>
      <c r="AV19" s="89"/>
      <c r="AW19" s="89"/>
    </row>
    <row r="20" spans="1:49" ht="16.5" customHeight="1" x14ac:dyDescent="0.2">
      <c r="A20" s="9" t="s">
        <v>18</v>
      </c>
      <c r="B20" s="3">
        <v>158.685</v>
      </c>
      <c r="C20" s="2">
        <v>128.37799999999999</v>
      </c>
      <c r="D20" s="2">
        <v>124.334</v>
      </c>
      <c r="E20" s="2">
        <v>136.59</v>
      </c>
      <c r="F20" s="2">
        <v>132.00800000000001</v>
      </c>
      <c r="G20" s="2">
        <v>134.17400000000001</v>
      </c>
      <c r="H20" s="2">
        <v>143.654</v>
      </c>
      <c r="I20" s="2">
        <v>147.673</v>
      </c>
      <c r="J20" s="2">
        <v>140.24100000000001</v>
      </c>
      <c r="K20" s="2">
        <v>127.343</v>
      </c>
      <c r="L20" s="2">
        <v>119.779</v>
      </c>
      <c r="M20" s="2">
        <v>148.899</v>
      </c>
      <c r="N20" s="4">
        <f t="shared" si="0"/>
        <v>1641.7580000000003</v>
      </c>
      <c r="AU20" s="88"/>
      <c r="AV20" s="89"/>
      <c r="AW20" s="89"/>
    </row>
    <row r="21" spans="1:4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AU21" s="88"/>
      <c r="AV21" s="89"/>
      <c r="AW21" s="89"/>
    </row>
    <row r="22" spans="1:49" ht="16.5" customHeight="1" x14ac:dyDescent="0.2">
      <c r="A22" s="9" t="s">
        <v>20</v>
      </c>
      <c r="B22" s="3">
        <v>101.20699999999999</v>
      </c>
      <c r="C22" s="2">
        <v>86.972999999999999</v>
      </c>
      <c r="D22" s="2">
        <v>94.97</v>
      </c>
      <c r="E22" s="2">
        <v>99.983000000000004</v>
      </c>
      <c r="F22" s="2">
        <v>104.905</v>
      </c>
      <c r="G22" s="2">
        <v>92.682000000000002</v>
      </c>
      <c r="H22" s="2">
        <v>103.178</v>
      </c>
      <c r="I22" s="2">
        <v>107.002</v>
      </c>
      <c r="J22" s="2">
        <v>90.015000000000001</v>
      </c>
      <c r="K22" s="2">
        <v>18.103999999999999</v>
      </c>
      <c r="L22" s="2">
        <v>0</v>
      </c>
      <c r="M22" s="2">
        <v>46.793999999999997</v>
      </c>
      <c r="N22" s="4">
        <f t="shared" si="0"/>
        <v>945.81299999999999</v>
      </c>
      <c r="AU22" s="88"/>
      <c r="AV22" s="89"/>
      <c r="AW22" s="89"/>
    </row>
    <row r="23" spans="1:49" ht="16.5" customHeight="1" x14ac:dyDescent="0.2">
      <c r="A23" s="9" t="s">
        <v>21</v>
      </c>
      <c r="B23" s="3">
        <v>9.3889999999999993</v>
      </c>
      <c r="C23" s="2">
        <v>4.343</v>
      </c>
      <c r="D23" s="2">
        <v>15.382999999999999</v>
      </c>
      <c r="E23" s="2">
        <v>11.561999999999999</v>
      </c>
      <c r="F23" s="2">
        <v>10.743</v>
      </c>
      <c r="G23" s="2">
        <v>13.757999999999999</v>
      </c>
      <c r="H23" s="2">
        <v>8.2390000000000008</v>
      </c>
      <c r="I23" s="2">
        <v>6.5359999999999996</v>
      </c>
      <c r="J23" s="2">
        <v>5.7190000000000003</v>
      </c>
      <c r="K23" s="2">
        <v>4.4180000000000001</v>
      </c>
      <c r="L23" s="2">
        <v>2.8580000000000001</v>
      </c>
      <c r="M23" s="2">
        <v>4.5110000000000001</v>
      </c>
      <c r="N23" s="4">
        <f t="shared" si="0"/>
        <v>97.459000000000003</v>
      </c>
      <c r="AU23" s="88"/>
      <c r="AV23" s="89"/>
      <c r="AW23" s="89"/>
    </row>
    <row r="24" spans="1:4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AU24" s="88"/>
      <c r="AV24" s="89"/>
      <c r="AW24" s="89"/>
    </row>
    <row r="25" spans="1:49" ht="16.5" customHeight="1" x14ac:dyDescent="0.2">
      <c r="A25" s="9" t="s">
        <v>23</v>
      </c>
      <c r="B25" s="3">
        <v>697.04399999999998</v>
      </c>
      <c r="C25" s="2">
        <v>612.63</v>
      </c>
      <c r="D25" s="2">
        <v>559.84999999999991</v>
      </c>
      <c r="E25" s="2">
        <v>727.69600000000003</v>
      </c>
      <c r="F25" s="2">
        <v>787.1869999999999</v>
      </c>
      <c r="G25" s="2">
        <v>783.81799999999998</v>
      </c>
      <c r="H25" s="2">
        <v>740.45699999999999</v>
      </c>
      <c r="I25" s="2">
        <v>765.04399999999998</v>
      </c>
      <c r="J25" s="2">
        <v>751.98599999999999</v>
      </c>
      <c r="K25" s="2">
        <v>715.875</v>
      </c>
      <c r="L25" s="2">
        <v>745.91600000000005</v>
      </c>
      <c r="M25" s="2">
        <v>761.822</v>
      </c>
      <c r="N25" s="4">
        <f t="shared" si="0"/>
        <v>8649.3249999999989</v>
      </c>
      <c r="AU25" s="88"/>
      <c r="AV25" s="89"/>
      <c r="AW25" s="89"/>
    </row>
    <row r="26" spans="1:4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AU26" s="88"/>
      <c r="AV26" s="89"/>
      <c r="AW26" s="89"/>
    </row>
    <row r="27" spans="1:4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AU27" s="88"/>
      <c r="AV27" s="89"/>
      <c r="AW27" s="89"/>
    </row>
    <row r="28" spans="1:49" ht="16.5" customHeight="1" x14ac:dyDescent="0.2">
      <c r="A28" s="9" t="s">
        <v>26</v>
      </c>
      <c r="B28" s="3">
        <v>31.808</v>
      </c>
      <c r="C28" s="2">
        <v>30.06</v>
      </c>
      <c r="D28" s="2">
        <v>41.706000000000003</v>
      </c>
      <c r="E28" s="2">
        <v>39.786000000000001</v>
      </c>
      <c r="F28" s="2">
        <v>41.301000000000002</v>
      </c>
      <c r="G28" s="2">
        <v>42.518999999999998</v>
      </c>
      <c r="H28" s="2">
        <v>38.244999999999997</v>
      </c>
      <c r="I28" s="2">
        <v>44.468000000000004</v>
      </c>
      <c r="J28" s="2">
        <v>44.734000000000002</v>
      </c>
      <c r="K28" s="2">
        <v>16.318999999999999</v>
      </c>
      <c r="L28" s="2">
        <v>0</v>
      </c>
      <c r="M28" s="2">
        <v>27.428999999999998</v>
      </c>
      <c r="N28" s="4">
        <f t="shared" si="0"/>
        <v>398.375</v>
      </c>
      <c r="AU28" s="88"/>
      <c r="AV28" s="89"/>
      <c r="AW28" s="89"/>
    </row>
    <row r="29" spans="1:49" ht="33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AU29" s="88"/>
      <c r="AV29" s="89"/>
      <c r="AW29" s="89"/>
    </row>
    <row r="30" spans="1:49" ht="21.75" customHeight="1" x14ac:dyDescent="0.2">
      <c r="A30" s="9" t="s">
        <v>28</v>
      </c>
      <c r="B30" s="3">
        <v>770.02099999999996</v>
      </c>
      <c r="C30" s="2">
        <v>662.08799999999997</v>
      </c>
      <c r="D30" s="2">
        <v>727.11400000000003</v>
      </c>
      <c r="E30" s="2">
        <v>747.34299999999996</v>
      </c>
      <c r="F30" s="2">
        <v>681.61</v>
      </c>
      <c r="G30" s="2">
        <v>695.15499999999997</v>
      </c>
      <c r="H30" s="2">
        <v>799.71100000000001</v>
      </c>
      <c r="I30" s="2">
        <v>841.99900000000002</v>
      </c>
      <c r="J30" s="2">
        <v>864.85199999999998</v>
      </c>
      <c r="K30" s="2">
        <v>845.46699999999998</v>
      </c>
      <c r="L30" s="2">
        <v>855.29399999999998</v>
      </c>
      <c r="M30" s="2">
        <v>896.38599999999997</v>
      </c>
      <c r="N30" s="4">
        <f t="shared" si="0"/>
        <v>9387.0400000000009</v>
      </c>
      <c r="AU30" s="88"/>
      <c r="AV30" s="89"/>
      <c r="AW30" s="89"/>
    </row>
    <row r="31" spans="1:4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  <c r="AU31" s="88"/>
      <c r="AV31" s="89"/>
      <c r="AW31" s="89"/>
    </row>
    <row r="32" spans="1:49" ht="16.5" customHeight="1" x14ac:dyDescent="0.2">
      <c r="A32" s="9" t="s">
        <v>30</v>
      </c>
      <c r="B32" s="3">
        <v>257.39400000000001</v>
      </c>
      <c r="C32" s="2">
        <v>201.65299999999999</v>
      </c>
      <c r="D32" s="2">
        <v>122.59399999999999</v>
      </c>
      <c r="E32" s="2">
        <v>255.571</v>
      </c>
      <c r="F32" s="2">
        <v>288.99900000000002</v>
      </c>
      <c r="G32" s="2">
        <v>243.96899999999999</v>
      </c>
      <c r="H32" s="2">
        <v>244.946</v>
      </c>
      <c r="I32" s="2">
        <v>248.34299999999999</v>
      </c>
      <c r="J32" s="2">
        <v>223.68899999999999</v>
      </c>
      <c r="K32" s="2">
        <v>118.45699999999999</v>
      </c>
      <c r="L32" s="2">
        <v>83.578999999999994</v>
      </c>
      <c r="M32" s="2">
        <v>202.62200000000001</v>
      </c>
      <c r="N32" s="4">
        <f t="shared" si="0"/>
        <v>2491.8160000000003</v>
      </c>
      <c r="AU32" s="88"/>
      <c r="AV32" s="89"/>
      <c r="AW32" s="89"/>
    </row>
    <row r="33" spans="1:49" ht="16.5" customHeight="1" x14ac:dyDescent="0.2">
      <c r="A33" s="9" t="s">
        <v>31</v>
      </c>
      <c r="B33" s="3">
        <v>25.396000000000001</v>
      </c>
      <c r="C33" s="2">
        <v>29.622</v>
      </c>
      <c r="D33" s="2">
        <v>15.27</v>
      </c>
      <c r="E33" s="2">
        <v>17.908000000000001</v>
      </c>
      <c r="F33" s="2">
        <v>8.5239999999999991</v>
      </c>
      <c r="G33" s="2">
        <v>17.242000000000001</v>
      </c>
      <c r="H33" s="2">
        <v>23.145</v>
      </c>
      <c r="I33" s="2">
        <v>21.039000000000001</v>
      </c>
      <c r="J33" s="2">
        <v>28.672999999999998</v>
      </c>
      <c r="K33" s="2">
        <v>17.536000000000001</v>
      </c>
      <c r="L33" s="2">
        <v>35.719000000000001</v>
      </c>
      <c r="M33" s="2">
        <v>30.881</v>
      </c>
      <c r="N33" s="4">
        <f t="shared" si="0"/>
        <v>270.95500000000004</v>
      </c>
      <c r="AU33" s="88"/>
      <c r="AV33" s="89"/>
      <c r="AW33" s="89"/>
    </row>
    <row r="34" spans="1:49" ht="16.5" customHeight="1" x14ac:dyDescent="0.2">
      <c r="A34" s="9" t="s">
        <v>32</v>
      </c>
      <c r="B34" s="3">
        <v>7.1429999999999998</v>
      </c>
      <c r="C34" s="2">
        <v>12.648</v>
      </c>
      <c r="D34" s="2">
        <v>17.295000000000002</v>
      </c>
      <c r="E34" s="2">
        <v>3.024</v>
      </c>
      <c r="F34" s="2">
        <v>2.5009999999999999</v>
      </c>
      <c r="G34" s="2">
        <v>1.585</v>
      </c>
      <c r="H34" s="2">
        <v>2.9470000000000001</v>
      </c>
      <c r="I34" s="2">
        <v>1.994</v>
      </c>
      <c r="J34" s="2">
        <v>4.8710000000000004</v>
      </c>
      <c r="K34" s="2">
        <v>11.677</v>
      </c>
      <c r="L34" s="2">
        <v>10.183999999999999</v>
      </c>
      <c r="M34" s="2">
        <v>16.524000000000001</v>
      </c>
      <c r="N34" s="4">
        <f t="shared" si="0"/>
        <v>92.393000000000001</v>
      </c>
      <c r="AU34" s="88"/>
      <c r="AV34" s="89"/>
      <c r="AW34" s="89"/>
    </row>
    <row r="35" spans="1:49" ht="16.5" customHeight="1" x14ac:dyDescent="0.2">
      <c r="A35" s="9" t="s">
        <v>33</v>
      </c>
      <c r="B35" s="3">
        <v>65.213999999999999</v>
      </c>
      <c r="C35" s="2">
        <v>59.210999999999999</v>
      </c>
      <c r="D35" s="2">
        <v>75.263999999999996</v>
      </c>
      <c r="E35" s="2">
        <v>69.869</v>
      </c>
      <c r="F35" s="2">
        <v>69.680999999999997</v>
      </c>
      <c r="G35" s="2">
        <v>49.259</v>
      </c>
      <c r="H35" s="2">
        <v>67.546000000000006</v>
      </c>
      <c r="I35" s="2">
        <v>69.353999999999999</v>
      </c>
      <c r="J35" s="2">
        <v>67.876000000000005</v>
      </c>
      <c r="K35" s="2">
        <v>28.199000000000002</v>
      </c>
      <c r="L35" s="2">
        <v>0</v>
      </c>
      <c r="M35" s="2">
        <v>42.896000000000001</v>
      </c>
      <c r="N35" s="4">
        <f t="shared" si="0"/>
        <v>664.36899999999991</v>
      </c>
      <c r="AU35" s="88"/>
      <c r="AV35" s="89"/>
      <c r="AW35" s="89"/>
    </row>
    <row r="36" spans="1:49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  <c r="AU36" s="88"/>
      <c r="AV36" s="89"/>
      <c r="AW36" s="89"/>
    </row>
    <row r="37" spans="1:49" ht="16.5" customHeight="1" x14ac:dyDescent="0.2">
      <c r="A37" s="9" t="s">
        <v>35</v>
      </c>
      <c r="B37" s="3">
        <v>1916.9299999999998</v>
      </c>
      <c r="C37" s="2">
        <v>1665.2239999999999</v>
      </c>
      <c r="D37" s="2">
        <v>1841.5260000000001</v>
      </c>
      <c r="E37" s="2">
        <v>1891.0509999999999</v>
      </c>
      <c r="F37" s="2">
        <v>1748.0620000000001</v>
      </c>
      <c r="G37" s="2">
        <v>1789.0219999999999</v>
      </c>
      <c r="H37" s="2">
        <v>1852.098</v>
      </c>
      <c r="I37" s="2">
        <v>1945.722</v>
      </c>
      <c r="J37" s="2">
        <v>1811.56</v>
      </c>
      <c r="K37" s="2">
        <v>1837.307</v>
      </c>
      <c r="L37" s="2">
        <v>1843.386</v>
      </c>
      <c r="M37" s="2">
        <v>1917.722</v>
      </c>
      <c r="N37" s="4">
        <f t="shared" si="0"/>
        <v>22059.61</v>
      </c>
      <c r="AU37" s="88"/>
      <c r="AV37" s="89"/>
      <c r="AW37" s="89"/>
    </row>
    <row r="38" spans="1:49" ht="16.5" customHeight="1" x14ac:dyDescent="0.2">
      <c r="A38" s="9" t="s">
        <v>36</v>
      </c>
      <c r="B38" s="3">
        <v>10.331</v>
      </c>
      <c r="C38" s="2">
        <v>9.25</v>
      </c>
      <c r="D38" s="2">
        <v>14.212</v>
      </c>
      <c r="E38" s="2">
        <v>11.42</v>
      </c>
      <c r="F38" s="2">
        <v>12.53</v>
      </c>
      <c r="G38" s="2">
        <v>9.94</v>
      </c>
      <c r="H38" s="2">
        <v>9.2560000000000002</v>
      </c>
      <c r="I38" s="2">
        <v>8.7309999999999999</v>
      </c>
      <c r="J38" s="2">
        <v>17.298999999999999</v>
      </c>
      <c r="K38" s="2">
        <v>19.861999999999998</v>
      </c>
      <c r="L38" s="2">
        <v>19.768999999999998</v>
      </c>
      <c r="M38" s="2">
        <v>8.8930000000000007</v>
      </c>
      <c r="N38" s="4">
        <f t="shared" si="0"/>
        <v>151.49299999999999</v>
      </c>
      <c r="AU38" s="88"/>
      <c r="AV38" s="89"/>
      <c r="AW38" s="89"/>
    </row>
    <row r="39" spans="1:49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  <c r="AU39" s="88"/>
      <c r="AV39" s="89"/>
      <c r="AW39" s="89"/>
    </row>
    <row r="40" spans="1:49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1E-3</v>
      </c>
      <c r="M40" s="2">
        <v>0</v>
      </c>
      <c r="N40" s="4">
        <f t="shared" si="0"/>
        <v>1E-3</v>
      </c>
      <c r="AU40" s="88"/>
      <c r="AV40" s="89"/>
      <c r="AW40" s="89"/>
    </row>
    <row r="41" spans="1:49" ht="16.5" customHeight="1" x14ac:dyDescent="0.2">
      <c r="A41" s="9" t="s">
        <v>39</v>
      </c>
      <c r="B41" s="3">
        <v>4.7E-2</v>
      </c>
      <c r="C41" s="2">
        <v>4.2000000000000003E-2</v>
      </c>
      <c r="D41" s="2">
        <v>4.5999999999999999E-2</v>
      </c>
      <c r="E41" s="2">
        <v>3.9E-2</v>
      </c>
      <c r="F41" s="2">
        <v>0.24099999999999999</v>
      </c>
      <c r="G41" s="2">
        <v>0</v>
      </c>
      <c r="H41" s="2">
        <v>0</v>
      </c>
      <c r="I41" s="2">
        <v>0</v>
      </c>
      <c r="J41" s="2">
        <v>0</v>
      </c>
      <c r="K41" s="2">
        <v>4.3140000000000001</v>
      </c>
      <c r="L41" s="2">
        <v>0</v>
      </c>
      <c r="M41" s="2">
        <v>0.33700000000000002</v>
      </c>
      <c r="N41" s="4">
        <f t="shared" si="0"/>
        <v>5.0659999999999998</v>
      </c>
      <c r="AU41" s="88"/>
      <c r="AV41" s="89"/>
      <c r="AW41" s="89"/>
    </row>
    <row r="42" spans="1:49" ht="16.5" customHeight="1" x14ac:dyDescent="0.2">
      <c r="A42" s="9" t="s">
        <v>60</v>
      </c>
      <c r="B42" s="3">
        <v>0</v>
      </c>
      <c r="C42" s="2">
        <v>0</v>
      </c>
      <c r="D42" s="2">
        <v>3.0000000000000001E-3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3.0000000000000001E-3</v>
      </c>
      <c r="AU42" s="88"/>
      <c r="AV42" s="89"/>
      <c r="AW42" s="89"/>
    </row>
    <row r="43" spans="1:49" ht="16.5" customHeight="1" x14ac:dyDescent="0.2">
      <c r="A43" s="9" t="s">
        <v>40</v>
      </c>
      <c r="B43" s="3">
        <v>274.90899999999999</v>
      </c>
      <c r="C43" s="2">
        <v>197.78399999999999</v>
      </c>
      <c r="D43" s="2">
        <v>251.95699999999999</v>
      </c>
      <c r="E43" s="2">
        <v>343.66399999999999</v>
      </c>
      <c r="F43" s="2">
        <v>292.02800000000002</v>
      </c>
      <c r="G43" s="2">
        <v>302.00799999999998</v>
      </c>
      <c r="H43" s="2">
        <v>293.62299999999999</v>
      </c>
      <c r="I43" s="2">
        <v>370.98099999999999</v>
      </c>
      <c r="J43" s="2">
        <v>396.02199999999999</v>
      </c>
      <c r="K43" s="2">
        <v>417.71300000000002</v>
      </c>
      <c r="L43" s="2">
        <v>406.85199999999998</v>
      </c>
      <c r="M43" s="2">
        <v>393.62</v>
      </c>
      <c r="N43" s="4">
        <f t="shared" si="0"/>
        <v>3941.1609999999996</v>
      </c>
      <c r="AU43" s="88"/>
      <c r="AV43" s="89"/>
      <c r="AW43" s="89"/>
    </row>
    <row r="44" spans="1:49" ht="16.5" customHeight="1" x14ac:dyDescent="0.2">
      <c r="A44" s="9" t="s">
        <v>41</v>
      </c>
      <c r="B44" s="3">
        <v>29.736000000000001</v>
      </c>
      <c r="C44" s="2">
        <v>26.082999999999998</v>
      </c>
      <c r="D44" s="2">
        <v>28.196999999999999</v>
      </c>
      <c r="E44" s="2">
        <v>22.324999999999999</v>
      </c>
      <c r="F44" s="2">
        <v>26.733000000000001</v>
      </c>
      <c r="G44" s="2">
        <v>22.428999999999998</v>
      </c>
      <c r="H44" s="2">
        <v>23.838999999999999</v>
      </c>
      <c r="I44" s="2">
        <v>22.608000000000001</v>
      </c>
      <c r="J44" s="2">
        <v>26.603999999999999</v>
      </c>
      <c r="K44" s="2">
        <v>26.533999999999999</v>
      </c>
      <c r="L44" s="2">
        <v>26.817</v>
      </c>
      <c r="M44" s="2">
        <v>28.454999999999998</v>
      </c>
      <c r="N44" s="4">
        <f t="shared" si="0"/>
        <v>310.36</v>
      </c>
      <c r="AU44" s="88"/>
      <c r="AV44" s="89"/>
      <c r="AW44" s="89"/>
    </row>
    <row r="45" spans="1:49" ht="16.5" customHeight="1" x14ac:dyDescent="0.2">
      <c r="A45" s="9" t="s">
        <v>42</v>
      </c>
      <c r="B45" s="3">
        <v>95.146000000000001</v>
      </c>
      <c r="C45" s="2">
        <v>157.779</v>
      </c>
      <c r="D45" s="2">
        <v>137.84899999999999</v>
      </c>
      <c r="E45" s="2">
        <v>190.78</v>
      </c>
      <c r="F45" s="2">
        <v>159.702</v>
      </c>
      <c r="G45" s="2">
        <v>171.9</v>
      </c>
      <c r="H45" s="2">
        <v>171.55199999999999</v>
      </c>
      <c r="I45" s="2">
        <v>144.52199999999999</v>
      </c>
      <c r="J45" s="2">
        <v>174.46100000000001</v>
      </c>
      <c r="K45" s="2">
        <v>134.88399999999999</v>
      </c>
      <c r="L45" s="2">
        <v>134.346</v>
      </c>
      <c r="M45" s="2">
        <v>149.584</v>
      </c>
      <c r="N45" s="4">
        <f t="shared" si="0"/>
        <v>1822.5049999999999</v>
      </c>
      <c r="AU45" s="88"/>
      <c r="AV45" s="89"/>
      <c r="AW45" s="89"/>
    </row>
    <row r="46" spans="1:49" ht="16.5" customHeight="1" x14ac:dyDescent="0.2">
      <c r="A46" s="9" t="s">
        <v>43</v>
      </c>
      <c r="B46" s="3">
        <v>7.0659999999999998</v>
      </c>
      <c r="C46" s="2">
        <v>10.742000000000001</v>
      </c>
      <c r="D46" s="2">
        <v>12.987</v>
      </c>
      <c r="E46" s="2">
        <v>12.172000000000001</v>
      </c>
      <c r="F46" s="2">
        <v>10.56</v>
      </c>
      <c r="G46" s="2">
        <v>8.4510000000000005</v>
      </c>
      <c r="H46" s="2">
        <v>12.999000000000001</v>
      </c>
      <c r="I46" s="2">
        <v>7.8109999999999999</v>
      </c>
      <c r="J46" s="2">
        <v>10.371</v>
      </c>
      <c r="K46" s="2">
        <v>9.3849999999999998</v>
      </c>
      <c r="L46" s="2">
        <v>9.3659999999999997</v>
      </c>
      <c r="M46" s="2">
        <v>10.369</v>
      </c>
      <c r="N46" s="4">
        <f t="shared" si="0"/>
        <v>122.27900000000001</v>
      </c>
      <c r="AU46" s="88"/>
      <c r="AV46" s="89"/>
      <c r="AW46" s="89"/>
    </row>
    <row r="47" spans="1:49" ht="16.5" customHeight="1" x14ac:dyDescent="0.2">
      <c r="A47" s="9" t="s">
        <v>44</v>
      </c>
      <c r="B47" s="3">
        <v>5.9109999999999996</v>
      </c>
      <c r="C47" s="2">
        <v>5.7359999999999998</v>
      </c>
      <c r="D47" s="2">
        <v>5.5119999999999996</v>
      </c>
      <c r="E47" s="2">
        <v>6.5540000000000003</v>
      </c>
      <c r="F47" s="2">
        <v>6.5720000000000001</v>
      </c>
      <c r="G47" s="2">
        <v>5.3689999999999998</v>
      </c>
      <c r="H47" s="2">
        <v>5.0540000000000003</v>
      </c>
      <c r="I47" s="2">
        <v>5.0709999999999997</v>
      </c>
      <c r="J47" s="2">
        <v>5.2110000000000003</v>
      </c>
      <c r="K47" s="2">
        <v>6.125</v>
      </c>
      <c r="L47" s="2">
        <v>6.1749999999999998</v>
      </c>
      <c r="M47" s="2">
        <v>5.2770000000000001</v>
      </c>
      <c r="N47" s="4">
        <f t="shared" si="0"/>
        <v>68.566999999999993</v>
      </c>
      <c r="AU47" s="88"/>
      <c r="AV47" s="89"/>
      <c r="AW47" s="89"/>
    </row>
    <row r="48" spans="1:49" ht="16.5" customHeight="1" x14ac:dyDescent="0.2">
      <c r="A48" s="9" t="s">
        <v>45</v>
      </c>
      <c r="B48" s="3">
        <v>303.00900000000001</v>
      </c>
      <c r="C48" s="2">
        <v>264.565</v>
      </c>
      <c r="D48" s="2">
        <v>306.91699999999997</v>
      </c>
      <c r="E48" s="2">
        <v>293.21600000000001</v>
      </c>
      <c r="F48" s="2">
        <v>282.34800000000001</v>
      </c>
      <c r="G48" s="2">
        <v>248.87799999999999</v>
      </c>
      <c r="H48" s="2">
        <v>296.68700000000001</v>
      </c>
      <c r="I48" s="2">
        <v>300.25900000000001</v>
      </c>
      <c r="J48" s="2">
        <v>296.303</v>
      </c>
      <c r="K48" s="2">
        <v>307.28100000000001</v>
      </c>
      <c r="L48" s="2">
        <v>240.53800000000001</v>
      </c>
      <c r="M48" s="2">
        <v>297.44400000000002</v>
      </c>
      <c r="N48" s="4">
        <f t="shared" si="0"/>
        <v>3437.4449999999997</v>
      </c>
      <c r="AU48" s="88"/>
      <c r="AV48" s="89"/>
      <c r="AW48" s="89"/>
    </row>
    <row r="49" spans="1:49" ht="18" customHeight="1" x14ac:dyDescent="0.2">
      <c r="A49" s="10" t="s">
        <v>52</v>
      </c>
      <c r="B49" s="7">
        <v>98.734000000002197</v>
      </c>
      <c r="C49" s="5">
        <v>160.85099999999875</v>
      </c>
      <c r="D49" s="5">
        <v>152.20700000000002</v>
      </c>
      <c r="E49" s="5">
        <v>68.241000000000895</v>
      </c>
      <c r="F49" s="5">
        <v>94.30699999999888</v>
      </c>
      <c r="G49" s="5">
        <v>41.46100000000115</v>
      </c>
      <c r="H49" s="5">
        <v>185.905</v>
      </c>
      <c r="I49" s="5">
        <v>210.77000000000004</v>
      </c>
      <c r="J49" s="5">
        <v>126.13699999999997</v>
      </c>
      <c r="K49" s="5">
        <v>195.59100000000004</v>
      </c>
      <c r="L49" s="5">
        <v>124.83499999999998</v>
      </c>
      <c r="M49" s="5">
        <v>176.97300000000087</v>
      </c>
      <c r="N49" s="6">
        <f t="shared" si="0"/>
        <v>1636.0120000000029</v>
      </c>
      <c r="AU49" s="88"/>
      <c r="AV49" s="89"/>
      <c r="AW49" s="89"/>
    </row>
    <row r="50" spans="1:49" x14ac:dyDescent="0.2">
      <c r="F50" s="41"/>
      <c r="AU50" s="88"/>
      <c r="AW50" s="89"/>
    </row>
    <row r="51" spans="1:49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49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49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</row>
    <row r="54" spans="1:49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49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49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49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49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49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49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49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49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49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49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94488188976377951" bottom="0.55118110236220474" header="0.31496062992125984" footer="0.31496062992125984"/>
  <pageSetup paperSize="9" scale="6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I250"/>
  <sheetViews>
    <sheetView showGridLines="0" topLeftCell="D5" zoomScale="70" zoomScaleNormal="70" workbookViewId="0">
      <selection activeCell="N5" sqref="N5:N49"/>
    </sheetView>
  </sheetViews>
  <sheetFormatPr baseColWidth="10" defaultColWidth="11.5" defaultRowHeight="14.25" x14ac:dyDescent="0.2"/>
  <cols>
    <col min="1" max="1" width="66.5" customWidth="1"/>
    <col min="7" max="8" width="11.5" customWidth="1"/>
    <col min="9" max="11" width="11.5" style="1" customWidth="1"/>
    <col min="12" max="13" width="11.5" customWidth="1"/>
    <col min="14" max="14" width="21.375" bestFit="1" customWidth="1"/>
    <col min="15" max="15" width="3.75" customWidth="1"/>
    <col min="27" max="27" width="13.125" customWidth="1"/>
    <col min="43" max="43" width="9.75" customWidth="1"/>
    <col min="45" max="45" width="11.5" style="1"/>
    <col min="46" max="46" width="11.5" style="72" customWidth="1"/>
    <col min="47" max="47" width="36.75" style="72" customWidth="1"/>
    <col min="48" max="48" width="12.625" style="72" customWidth="1"/>
    <col min="49" max="49" width="11.5" style="72" customWidth="1"/>
    <col min="50" max="50" width="11.5" style="1"/>
    <col min="51" max="51" width="11.5" style="72"/>
    <col min="52" max="61" width="11.5" style="1"/>
  </cols>
  <sheetData>
    <row r="1" spans="1:61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Q1" s="53" t="str">
        <f>"MOVIMIENTO DE CRUDOS Y OBTENCIÓN DE PRODUCTOS PETROLÍFEROS - " &amp;AV3</f>
        <v>MOVIMIENTO DE CRUDOS Y OBTENCIÓN DE PRODUCTOS PETROLÍFEROS - DICIEMBRE 2024</v>
      </c>
      <c r="AE1" s="53" t="s">
        <v>62</v>
      </c>
    </row>
    <row r="2" spans="1:61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3" spans="1:61" x14ac:dyDescent="0.2">
      <c r="AV3" s="73" t="str">
        <f>UPPER(TEXT(MAXA(B4:M4),"mmmm aaaa"))</f>
        <v>DICIEMBRE 2024</v>
      </c>
    </row>
    <row r="4" spans="1:61" s="16" customFormat="1" ht="21" customHeight="1" x14ac:dyDescent="0.2">
      <c r="A4" s="11" t="s">
        <v>13</v>
      </c>
      <c r="B4" s="12">
        <v>45292</v>
      </c>
      <c r="C4" s="13">
        <v>45323</v>
      </c>
      <c r="D4" s="13">
        <v>45352</v>
      </c>
      <c r="E4" s="14">
        <v>45383</v>
      </c>
      <c r="F4" s="14">
        <v>45413</v>
      </c>
      <c r="G4" s="14">
        <v>45444</v>
      </c>
      <c r="H4" s="14">
        <v>45474</v>
      </c>
      <c r="I4" s="14">
        <v>45505</v>
      </c>
      <c r="J4" s="14">
        <v>45536</v>
      </c>
      <c r="K4" s="14">
        <v>45566</v>
      </c>
      <c r="L4" s="14">
        <v>45597</v>
      </c>
      <c r="M4" s="14">
        <v>45627</v>
      </c>
      <c r="N4" s="15" t="s">
        <v>61</v>
      </c>
      <c r="Q4" s="54"/>
      <c r="R4" s="54"/>
      <c r="S4" s="54"/>
      <c r="T4" s="54"/>
      <c r="U4" s="54"/>
      <c r="V4" s="54"/>
      <c r="W4" s="54"/>
      <c r="X4" s="54"/>
      <c r="Y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S4" s="83"/>
      <c r="AT4" s="74"/>
      <c r="AU4" s="74"/>
      <c r="AV4" s="74"/>
      <c r="AW4" s="74"/>
      <c r="AX4" s="83"/>
      <c r="AY4" s="74"/>
      <c r="AZ4" s="83"/>
      <c r="BA4" s="83"/>
      <c r="BB4" s="83"/>
      <c r="BC4" s="83"/>
      <c r="BD4" s="83"/>
      <c r="BE4" s="83"/>
      <c r="BF4" s="83"/>
      <c r="BG4" s="83"/>
      <c r="BH4" s="83"/>
      <c r="BI4" s="83"/>
    </row>
    <row r="5" spans="1:61" s="21" customFormat="1" ht="21" customHeight="1" x14ac:dyDescent="0.2">
      <c r="A5" s="17" t="s">
        <v>0</v>
      </c>
      <c r="B5" s="18">
        <v>0</v>
      </c>
      <c r="C5" s="19">
        <v>7.5999999999999998E-2</v>
      </c>
      <c r="D5" s="19">
        <v>3.5999999999999997E-2</v>
      </c>
      <c r="E5" s="19">
        <v>5.1999999999999998E-2</v>
      </c>
      <c r="F5" s="19">
        <v>6.9000000000000006E-2</v>
      </c>
      <c r="G5" s="19">
        <v>0</v>
      </c>
      <c r="H5" s="19">
        <v>0</v>
      </c>
      <c r="I5" s="45">
        <v>0</v>
      </c>
      <c r="J5" s="19">
        <v>0</v>
      </c>
      <c r="K5" s="19">
        <v>0.121</v>
      </c>
      <c r="L5" s="19">
        <v>2.1999999999999999E-2</v>
      </c>
      <c r="M5" s="19">
        <v>0.223</v>
      </c>
      <c r="N5" s="20">
        <f>SUM(B5:M5)</f>
        <v>0.59899999999999998</v>
      </c>
      <c r="P5" s="34"/>
      <c r="Q5" s="34"/>
      <c r="R5" s="47"/>
      <c r="AS5" s="32"/>
      <c r="AT5" s="75"/>
      <c r="AU5" s="75"/>
      <c r="AV5" s="75"/>
      <c r="AW5" s="75"/>
      <c r="AX5" s="32"/>
      <c r="AY5" s="75"/>
      <c r="AZ5" s="32"/>
      <c r="BA5" s="32"/>
      <c r="BB5" s="32"/>
      <c r="BC5" s="32"/>
      <c r="BD5" s="32"/>
      <c r="BE5" s="32"/>
      <c r="BF5" s="32"/>
      <c r="BG5" s="32"/>
      <c r="BH5" s="32"/>
      <c r="BI5" s="32"/>
    </row>
    <row r="6" spans="1:61" s="21" customFormat="1" ht="21" customHeight="1" x14ac:dyDescent="0.2">
      <c r="A6" s="22" t="s">
        <v>1</v>
      </c>
      <c r="B6" s="23">
        <v>6240.1289999999999</v>
      </c>
      <c r="C6" s="24">
        <v>5087.451</v>
      </c>
      <c r="D6" s="24">
        <v>5060.8040000000001</v>
      </c>
      <c r="E6" s="24">
        <v>6148.0309999999999</v>
      </c>
      <c r="F6" s="24">
        <v>5922.1580000000004</v>
      </c>
      <c r="G6" s="24">
        <v>5076.2169999999996</v>
      </c>
      <c r="H6" s="24">
        <v>4951.8909999999996</v>
      </c>
      <c r="I6" s="24">
        <v>5766.31</v>
      </c>
      <c r="J6" s="24">
        <v>4670.3940000000002</v>
      </c>
      <c r="K6" s="24">
        <v>4962.3389999999999</v>
      </c>
      <c r="L6" s="24">
        <v>5467.8580000000002</v>
      </c>
      <c r="M6" s="24">
        <v>5234.32</v>
      </c>
      <c r="N6" s="25">
        <f>SUM(B6:M6)</f>
        <v>64587.901999999995</v>
      </c>
      <c r="P6" s="34"/>
      <c r="Q6" s="34"/>
      <c r="R6" s="47"/>
      <c r="AS6" s="32"/>
      <c r="AT6" s="75"/>
      <c r="AU6" s="76" t="str">
        <f>A6</f>
        <v>IMPORTACIONES DE CRUDO</v>
      </c>
      <c r="AV6" s="77">
        <f>HLOOKUP(MAXA(B4:M4),$B$4:$M$6,3,FALSE)</f>
        <v>5234.32</v>
      </c>
      <c r="AW6" s="75"/>
      <c r="AX6" s="32"/>
      <c r="AY6" s="75"/>
      <c r="AZ6" s="32"/>
      <c r="BA6" s="32"/>
      <c r="BB6" s="32"/>
      <c r="BC6" s="32"/>
      <c r="BD6" s="32"/>
      <c r="BE6" s="32"/>
      <c r="BF6" s="32"/>
      <c r="BG6" s="32"/>
      <c r="BH6" s="32"/>
      <c r="BI6" s="32"/>
    </row>
    <row r="7" spans="1:61" s="21" customFormat="1" ht="21" customHeight="1" x14ac:dyDescent="0.2">
      <c r="A7" s="26" t="s">
        <v>2</v>
      </c>
      <c r="B7" s="27">
        <v>120.79399999999987</v>
      </c>
      <c r="C7" s="28">
        <v>16.909999999999854</v>
      </c>
      <c r="D7" s="28">
        <v>-95.347999999999956</v>
      </c>
      <c r="E7" s="28">
        <v>73.523000000000138</v>
      </c>
      <c r="F7" s="28">
        <v>25.162999999999556</v>
      </c>
      <c r="G7" s="28">
        <v>-117.7579999999989</v>
      </c>
      <c r="H7" s="28">
        <v>81.727000000000771</v>
      </c>
      <c r="I7" s="28">
        <v>93.736999999999171</v>
      </c>
      <c r="J7" s="28">
        <v>-144.60600000000068</v>
      </c>
      <c r="K7" s="28">
        <v>67.46100000000024</v>
      </c>
      <c r="L7" s="28">
        <v>-2.4160000000001673</v>
      </c>
      <c r="M7" s="28">
        <v>-7.6350000000002183</v>
      </c>
      <c r="N7" s="29">
        <f t="shared" ref="N7:N49" si="0">SUM(B7:M7)</f>
        <v>111.55199999999968</v>
      </c>
      <c r="P7" s="34"/>
      <c r="Q7" s="34"/>
      <c r="R7" s="47"/>
      <c r="AS7" s="32"/>
      <c r="AT7" s="75"/>
      <c r="AU7" s="76" t="str">
        <f>A12</f>
        <v>TOTAL PROCESADO</v>
      </c>
      <c r="AV7" s="77">
        <f>HLOOKUP(MAXA(B4:M4),$B$4:$M$12,9,FALSE)</f>
        <v>5482.2209999999995</v>
      </c>
      <c r="AW7" s="75"/>
      <c r="AX7" s="32"/>
      <c r="AY7" s="75"/>
      <c r="AZ7" s="32"/>
      <c r="BA7" s="32"/>
      <c r="BB7" s="32"/>
      <c r="BC7" s="32"/>
      <c r="BD7" s="32"/>
      <c r="BE7" s="32"/>
      <c r="BF7" s="32"/>
      <c r="BG7" s="32"/>
      <c r="BH7" s="32"/>
      <c r="BI7" s="32"/>
    </row>
    <row r="8" spans="1:61" s="21" customFormat="1" ht="21" customHeight="1" x14ac:dyDescent="0.2">
      <c r="A8" s="26" t="s">
        <v>3</v>
      </c>
      <c r="B8" s="27">
        <v>518.52800000000002</v>
      </c>
      <c r="C8" s="28">
        <v>-393.85</v>
      </c>
      <c r="D8" s="28">
        <v>-256.63900000000001</v>
      </c>
      <c r="E8" s="28">
        <v>769.74</v>
      </c>
      <c r="F8" s="28">
        <v>38.106999999999999</v>
      </c>
      <c r="G8" s="28">
        <v>37.000999999999998</v>
      </c>
      <c r="H8" s="28">
        <v>-476.55399999999997</v>
      </c>
      <c r="I8" s="28">
        <v>276.88</v>
      </c>
      <c r="J8" s="28">
        <v>-344.17</v>
      </c>
      <c r="K8" s="28">
        <v>-299.13099999999997</v>
      </c>
      <c r="L8" s="28">
        <v>389.70400000000001</v>
      </c>
      <c r="M8" s="28">
        <v>-7.3010000000000002</v>
      </c>
      <c r="N8" s="29">
        <f t="shared" si="0"/>
        <v>252.315</v>
      </c>
      <c r="P8" s="34"/>
      <c r="Q8" s="34"/>
      <c r="R8" s="47"/>
      <c r="AS8" s="32"/>
      <c r="AT8" s="75"/>
      <c r="AU8" s="76" t="str">
        <f>A15</f>
        <v>PRODUCCION BRUTA DE REFINERIA</v>
      </c>
      <c r="AV8" s="77">
        <f>HLOOKUP(MAXA(B4:M4),$B$4:$M$15,12,FALSE)</f>
        <v>5415.1689999999999</v>
      </c>
      <c r="AW8" s="75"/>
      <c r="AX8" s="32"/>
      <c r="AY8" s="75"/>
      <c r="AZ8" s="32"/>
      <c r="BA8" s="32"/>
      <c r="BB8" s="32"/>
      <c r="BC8" s="32"/>
      <c r="BD8" s="32"/>
      <c r="BE8" s="32"/>
      <c r="BF8" s="32"/>
      <c r="BG8" s="32"/>
      <c r="BH8" s="32"/>
      <c r="BI8" s="32"/>
    </row>
    <row r="9" spans="1:61" s="21" customFormat="1" ht="21" customHeight="1" x14ac:dyDescent="0.2">
      <c r="A9" s="26" t="s">
        <v>4</v>
      </c>
      <c r="B9" s="27">
        <v>149.529</v>
      </c>
      <c r="C9" s="28">
        <v>33.624000000000024</v>
      </c>
      <c r="D9" s="28">
        <v>-72.738999999999976</v>
      </c>
      <c r="E9" s="28">
        <v>124.71199999999999</v>
      </c>
      <c r="F9" s="28">
        <v>8.1450000000000031</v>
      </c>
      <c r="G9" s="28">
        <v>-61.539000000000001</v>
      </c>
      <c r="H9" s="28">
        <v>-38.465000000000032</v>
      </c>
      <c r="I9" s="28">
        <v>31.04000000000002</v>
      </c>
      <c r="J9" s="28">
        <v>-168.59300000000002</v>
      </c>
      <c r="K9" s="28">
        <v>121.61899999999997</v>
      </c>
      <c r="L9" s="28">
        <v>40.543000000000006</v>
      </c>
      <c r="M9" s="28">
        <v>-196.66900000000001</v>
      </c>
      <c r="N9" s="29">
        <f t="shared" si="0"/>
        <v>-28.793000000000035</v>
      </c>
      <c r="P9" s="34"/>
      <c r="Q9" s="34"/>
      <c r="R9" s="47"/>
      <c r="AS9" s="32"/>
      <c r="AT9" s="75"/>
      <c r="AU9" s="75"/>
      <c r="AV9" s="77"/>
      <c r="AW9" s="75"/>
      <c r="AX9" s="32"/>
      <c r="AY9" s="75"/>
      <c r="AZ9" s="32"/>
      <c r="BA9" s="32"/>
      <c r="BB9" s="32"/>
      <c r="BC9" s="32"/>
      <c r="BD9" s="32"/>
      <c r="BE9" s="32"/>
      <c r="BF9" s="32"/>
      <c r="BG9" s="32"/>
      <c r="BH9" s="32"/>
      <c r="BI9" s="32"/>
    </row>
    <row r="10" spans="1:61" s="21" customFormat="1" ht="21" customHeight="1" x14ac:dyDescent="0.2">
      <c r="A10" s="26" t="s">
        <v>5</v>
      </c>
      <c r="B10" s="27">
        <v>43.488</v>
      </c>
      <c r="C10" s="28">
        <v>22.417999999999999</v>
      </c>
      <c r="D10" s="28">
        <v>30.14</v>
      </c>
      <c r="E10" s="28">
        <v>55.326999999999998</v>
      </c>
      <c r="F10" s="28">
        <v>27.544999999999998</v>
      </c>
      <c r="G10" s="28">
        <v>88.7</v>
      </c>
      <c r="H10" s="28">
        <v>48.823999999999998</v>
      </c>
      <c r="I10" s="28">
        <v>19.875</v>
      </c>
      <c r="J10" s="28">
        <v>41.548999999999999</v>
      </c>
      <c r="K10" s="28">
        <v>57.52</v>
      </c>
      <c r="L10" s="28">
        <v>50.742999999999995</v>
      </c>
      <c r="M10" s="28">
        <v>51.342999999999996</v>
      </c>
      <c r="N10" s="29">
        <f t="shared" si="0"/>
        <v>537.47199999999998</v>
      </c>
      <c r="P10" s="34"/>
      <c r="Q10" s="34"/>
      <c r="R10" s="47"/>
      <c r="AS10" s="32"/>
      <c r="AT10" s="75"/>
      <c r="AU10" s="75"/>
      <c r="AV10" s="77"/>
      <c r="AW10" s="75"/>
      <c r="AX10" s="32"/>
      <c r="AY10" s="75"/>
      <c r="AZ10" s="32"/>
      <c r="BA10" s="32"/>
      <c r="BB10" s="32"/>
      <c r="BC10" s="32"/>
      <c r="BD10" s="32"/>
      <c r="BE10" s="32"/>
      <c r="BF10" s="32"/>
      <c r="BG10" s="32"/>
      <c r="BH10" s="32"/>
      <c r="BI10" s="32"/>
    </row>
    <row r="11" spans="1:61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55"/>
      <c r="R11" s="47"/>
      <c r="AS11" s="32"/>
      <c r="AT11" s="75"/>
      <c r="AU11" s="76" t="str">
        <f>A7</f>
        <v>IMPORTACIONES DE PROD. INTERMEDIOS Y MAT. AUXILIARES</v>
      </c>
      <c r="AV11" s="77">
        <f>HLOOKUP(MAXA(B4:M4),$B$4:$M$15,4,FALSE)</f>
        <v>-7.6350000000002183</v>
      </c>
      <c r="AW11" s="75"/>
      <c r="AX11" s="32"/>
      <c r="AY11" s="75"/>
      <c r="AZ11" s="32"/>
      <c r="BA11" s="32"/>
      <c r="BB11" s="32"/>
      <c r="BC11" s="32"/>
      <c r="BD11" s="32"/>
      <c r="BE11" s="32"/>
      <c r="BF11" s="32"/>
      <c r="BG11" s="32"/>
      <c r="BH11" s="32"/>
      <c r="BI11" s="32"/>
    </row>
    <row r="12" spans="1:61" s="31" customFormat="1" ht="21" customHeight="1" x14ac:dyDescent="0.2">
      <c r="A12" s="22" t="s">
        <v>7</v>
      </c>
      <c r="B12" s="24">
        <v>5736.3540000000003</v>
      </c>
      <c r="C12" s="24">
        <v>5487.0810000000001</v>
      </c>
      <c r="D12" s="24">
        <v>5325.01</v>
      </c>
      <c r="E12" s="24">
        <v>5382.4810000000007</v>
      </c>
      <c r="F12" s="24">
        <v>5928.683</v>
      </c>
      <c r="G12" s="24">
        <v>5071.6970000000001</v>
      </c>
      <c r="H12" s="24">
        <v>5597.4610000000002</v>
      </c>
      <c r="I12" s="24">
        <v>5572.0019999999995</v>
      </c>
      <c r="J12" s="24">
        <v>5080.0999999999995</v>
      </c>
      <c r="K12" s="24">
        <v>5264.9530000000013</v>
      </c>
      <c r="L12" s="24">
        <v>5085.9600000000009</v>
      </c>
      <c r="M12" s="24">
        <v>5482.2209999999995</v>
      </c>
      <c r="N12" s="25">
        <f>SUM(B12:M12)</f>
        <v>65014.002999999997</v>
      </c>
      <c r="P12" s="34"/>
      <c r="Q12" s="34"/>
      <c r="R12" s="47"/>
      <c r="S12" s="56"/>
      <c r="T12" s="56"/>
      <c r="U12" s="56"/>
      <c r="V12" s="56"/>
      <c r="W12" s="56"/>
      <c r="X12" s="56"/>
      <c r="Y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S12" s="86"/>
      <c r="AT12" s="78"/>
      <c r="AU12" s="76" t="str">
        <f>A8</f>
        <v>VARIACION DE STOCKS DE CRUDOS (Ef-Ei)</v>
      </c>
      <c r="AV12" s="79">
        <f>HLOOKUP(MAXA(B4:M4),$B$4:$M$15,5,FALSE)</f>
        <v>-7.3010000000000002</v>
      </c>
      <c r="AW12" s="78"/>
      <c r="AX12" s="86"/>
      <c r="AY12" s="78"/>
      <c r="AZ12" s="86"/>
      <c r="BA12" s="86"/>
      <c r="BB12" s="86"/>
      <c r="BC12" s="86"/>
      <c r="BD12" s="86"/>
      <c r="BE12" s="86"/>
      <c r="BF12" s="86"/>
      <c r="BG12" s="86"/>
      <c r="BH12" s="86"/>
      <c r="BI12" s="86"/>
    </row>
    <row r="13" spans="1:61" s="21" customFormat="1" ht="21" customHeight="1" x14ac:dyDescent="0.2">
      <c r="A13" s="26" t="s">
        <v>12</v>
      </c>
      <c r="B13" s="27">
        <v>5721.6009999999997</v>
      </c>
      <c r="C13" s="28">
        <v>5481.3770000000004</v>
      </c>
      <c r="D13" s="28">
        <v>5317.4790000000003</v>
      </c>
      <c r="E13" s="28">
        <v>5378.3429999999998</v>
      </c>
      <c r="F13" s="28">
        <v>5884.12</v>
      </c>
      <c r="G13" s="28">
        <v>5039.2160000000003</v>
      </c>
      <c r="H13" s="28">
        <v>5428.4449999999997</v>
      </c>
      <c r="I13" s="28">
        <v>5489.43</v>
      </c>
      <c r="J13" s="28">
        <v>5014.5640000000003</v>
      </c>
      <c r="K13" s="28">
        <v>5261.5910000000003</v>
      </c>
      <c r="L13" s="28">
        <v>5078.1760000000004</v>
      </c>
      <c r="M13" s="28">
        <v>5241.8440000000001</v>
      </c>
      <c r="N13" s="29">
        <f t="shared" si="0"/>
        <v>64336.185999999994</v>
      </c>
      <c r="P13" s="34"/>
      <c r="Q13" s="34"/>
      <c r="R13" s="47"/>
      <c r="AS13" s="32"/>
      <c r="AT13" s="75"/>
      <c r="AU13" s="76" t="str">
        <f>A9</f>
        <v>APROVISIONAMIENTO DE PROD. INTERMEDIOS Y MAT. AUXILIARES</v>
      </c>
      <c r="AV13" s="77">
        <f>HLOOKUP(MAXA(B4:M4),$B$4:$M$15,6,FALSE)</f>
        <v>-196.66900000000001</v>
      </c>
      <c r="AW13" s="75"/>
      <c r="AX13" s="32"/>
      <c r="AY13" s="75"/>
      <c r="AZ13" s="32"/>
      <c r="BA13" s="32"/>
      <c r="BB13" s="32"/>
      <c r="BC13" s="32"/>
      <c r="BD13" s="32"/>
      <c r="BE13" s="32"/>
      <c r="BF13" s="32"/>
      <c r="BG13" s="32"/>
      <c r="BH13" s="32"/>
      <c r="BI13" s="32"/>
    </row>
    <row r="14" spans="1:61" s="21" customFormat="1" ht="21" customHeight="1" x14ac:dyDescent="0.2">
      <c r="A14" s="26" t="s">
        <v>8</v>
      </c>
      <c r="B14" s="27">
        <v>109.16399999999976</v>
      </c>
      <c r="C14" s="28">
        <v>262.67499999999836</v>
      </c>
      <c r="D14" s="28">
        <v>155.60100000000057</v>
      </c>
      <c r="E14" s="28">
        <v>148.85899999999947</v>
      </c>
      <c r="F14" s="28">
        <v>286.02500000000055</v>
      </c>
      <c r="G14" s="28">
        <v>110.57300000000032</v>
      </c>
      <c r="H14" s="28">
        <v>57.899000000000342</v>
      </c>
      <c r="I14" s="46">
        <v>89.593999999999141</v>
      </c>
      <c r="J14" s="28">
        <v>34.008999999998196</v>
      </c>
      <c r="K14" s="28">
        <v>81.345000000000255</v>
      </c>
      <c r="L14" s="28">
        <v>205.23099999999886</v>
      </c>
      <c r="M14" s="28">
        <v>67.05199999999968</v>
      </c>
      <c r="N14" s="29">
        <f t="shared" si="0"/>
        <v>1608.0269999999955</v>
      </c>
      <c r="P14" s="36"/>
      <c r="Q14" s="34"/>
      <c r="R14" s="47"/>
      <c r="S14" s="42"/>
      <c r="T14" s="42"/>
      <c r="U14" s="42"/>
      <c r="V14" s="42"/>
      <c r="W14" s="42"/>
      <c r="X14" s="42"/>
      <c r="Y14" s="42"/>
      <c r="AA14" s="42"/>
      <c r="AB14" s="42"/>
      <c r="AC14" s="42"/>
      <c r="AD14" s="42"/>
      <c r="AS14" s="32"/>
      <c r="AT14" s="75"/>
      <c r="AU14" s="76" t="str">
        <f>A10</f>
        <v>PRODUCTOS TRASPASADOS Y BACKFLOWS</v>
      </c>
      <c r="AV14" s="77">
        <f>HLOOKUP(MAXA(B4:M4),$B$4:$M$15,7,FALSE)</f>
        <v>51.342999999999996</v>
      </c>
      <c r="AW14" s="75"/>
      <c r="AX14" s="32"/>
      <c r="AY14" s="75"/>
      <c r="AZ14" s="32"/>
      <c r="BA14" s="32"/>
      <c r="BB14" s="32"/>
      <c r="BC14" s="32"/>
      <c r="BD14" s="32"/>
      <c r="BE14" s="32"/>
      <c r="BF14" s="32"/>
      <c r="BG14" s="32"/>
      <c r="BH14" s="32"/>
      <c r="BI14" s="32"/>
    </row>
    <row r="15" spans="1:61" s="32" customFormat="1" ht="21" customHeight="1" x14ac:dyDescent="0.2">
      <c r="A15" s="22" t="s">
        <v>9</v>
      </c>
      <c r="B15" s="24">
        <f t="shared" ref="B15:M15" si="1">SUM(B16:B49)</f>
        <v>5627.1900000000005</v>
      </c>
      <c r="C15" s="24">
        <f t="shared" si="1"/>
        <v>5224.4060000000009</v>
      </c>
      <c r="D15" s="24">
        <f t="shared" si="1"/>
        <v>5169.4089999999997</v>
      </c>
      <c r="E15" s="24">
        <f t="shared" si="1"/>
        <v>5233.6220000000003</v>
      </c>
      <c r="F15" s="24">
        <f t="shared" si="1"/>
        <v>5642.6579999999994</v>
      </c>
      <c r="G15" s="24">
        <f t="shared" si="1"/>
        <v>4961.1239999999998</v>
      </c>
      <c r="H15" s="24">
        <f t="shared" si="1"/>
        <v>5539.5619999999999</v>
      </c>
      <c r="I15" s="24">
        <f t="shared" si="1"/>
        <v>5482.4080000000004</v>
      </c>
      <c r="J15" s="24">
        <f t="shared" si="1"/>
        <v>5046.0910000000013</v>
      </c>
      <c r="K15" s="24">
        <f t="shared" si="1"/>
        <v>5183.6080000000002</v>
      </c>
      <c r="L15" s="24">
        <f t="shared" si="1"/>
        <v>4880.7290000000012</v>
      </c>
      <c r="M15" s="24">
        <f t="shared" si="1"/>
        <v>5415.1689999999999</v>
      </c>
      <c r="N15" s="25">
        <f t="shared" si="0"/>
        <v>63405.976000000002</v>
      </c>
      <c r="Q15" s="21"/>
      <c r="R15" s="42"/>
      <c r="S15" s="42"/>
      <c r="T15" s="42"/>
      <c r="U15" s="42"/>
      <c r="V15" s="42"/>
      <c r="W15" s="42"/>
      <c r="X15" s="42"/>
      <c r="Y15" s="42"/>
      <c r="AA15" s="42"/>
      <c r="AB15" s="42"/>
      <c r="AC15" s="42"/>
      <c r="AD15" s="42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T15" s="75"/>
      <c r="AU15" s="76" t="str">
        <f>A11</f>
        <v>CONSUMO DIRECTO DE CRUDO</v>
      </c>
      <c r="AV15" s="77">
        <f>HLOOKUP(MAXA(B4:M4),$B$4:$M$15,8,FALSE)</f>
        <v>0</v>
      </c>
      <c r="AW15" s="75"/>
      <c r="AY15" s="75"/>
    </row>
    <row r="16" spans="1:61" ht="16.5" customHeight="1" x14ac:dyDescent="0.2">
      <c r="A16" s="9" t="s">
        <v>14</v>
      </c>
      <c r="B16" s="3">
        <v>171.17400000000001</v>
      </c>
      <c r="C16" s="2">
        <v>141.738</v>
      </c>
      <c r="D16" s="2">
        <v>171.87</v>
      </c>
      <c r="E16" s="2">
        <v>170.124</v>
      </c>
      <c r="F16" s="2">
        <v>180.49600000000001</v>
      </c>
      <c r="G16" s="2">
        <v>173.89400000000001</v>
      </c>
      <c r="H16" s="2">
        <v>187.74799999999999</v>
      </c>
      <c r="I16" s="2">
        <v>182.61799999999999</v>
      </c>
      <c r="J16" s="2">
        <v>171.11600000000001</v>
      </c>
      <c r="K16" s="2">
        <v>168.66300000000001</v>
      </c>
      <c r="L16" s="2">
        <v>153.82400000000001</v>
      </c>
      <c r="M16" s="2">
        <v>177.91800000000001</v>
      </c>
      <c r="N16" s="4">
        <f t="shared" si="0"/>
        <v>2051.183</v>
      </c>
    </row>
    <row r="17" spans="1:4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R17" s="38"/>
      <c r="S17" s="38"/>
      <c r="T17" s="38"/>
      <c r="U17" s="38"/>
      <c r="V17" s="38"/>
      <c r="W17" s="38"/>
      <c r="X17" s="38"/>
      <c r="Y17" s="38"/>
      <c r="AA17" s="38"/>
      <c r="AB17" s="38"/>
      <c r="AC17" s="38"/>
      <c r="AD17" s="38"/>
      <c r="AE17" s="38"/>
      <c r="AU17" s="80" t="str">
        <f>A16</f>
        <v>Gas Refinería</v>
      </c>
      <c r="AV17" s="81">
        <f>HLOOKUP(MAXA(B4:M4),$B$4:$M$49,13,FALSE)</f>
        <v>177.91800000000001</v>
      </c>
      <c r="AW17" s="81"/>
    </row>
    <row r="18" spans="1:49" ht="16.5" customHeight="1" x14ac:dyDescent="0.2">
      <c r="A18" s="9" t="s">
        <v>16</v>
      </c>
      <c r="B18" s="3">
        <v>108.21899999999999</v>
      </c>
      <c r="C18" s="2">
        <v>98.212999999999994</v>
      </c>
      <c r="D18" s="2">
        <v>102.102</v>
      </c>
      <c r="E18" s="2">
        <v>82.632000000000005</v>
      </c>
      <c r="F18" s="2">
        <v>86.841999999999999</v>
      </c>
      <c r="G18" s="2">
        <v>74.088999999999999</v>
      </c>
      <c r="H18" s="2">
        <v>93.162000000000006</v>
      </c>
      <c r="I18" s="2">
        <v>83.454999999999998</v>
      </c>
      <c r="J18" s="2">
        <v>83.688000000000002</v>
      </c>
      <c r="K18" s="2">
        <v>88.281000000000006</v>
      </c>
      <c r="L18" s="2">
        <v>98.222999999999999</v>
      </c>
      <c r="M18" s="2">
        <v>115.131</v>
      </c>
      <c r="N18" s="4">
        <f t="shared" si="0"/>
        <v>1114.037</v>
      </c>
      <c r="AU18" s="80" t="str">
        <f t="shared" ref="AU18:AU50" si="2">A17</f>
        <v>Etano</v>
      </c>
      <c r="AV18" s="81">
        <f>HLOOKUP(MAXA(B4:M4),$B$4:$M$49,14,FALSE)</f>
        <v>0</v>
      </c>
      <c r="AW18" s="81"/>
    </row>
    <row r="19" spans="1:49" ht="16.5" customHeight="1" x14ac:dyDescent="0.2">
      <c r="A19" s="9" t="s">
        <v>17</v>
      </c>
      <c r="B19" s="3">
        <v>25.813999999999993</v>
      </c>
      <c r="C19" s="2">
        <v>15.995000000000005</v>
      </c>
      <c r="D19" s="2">
        <v>2.8889999999999958</v>
      </c>
      <c r="E19" s="2">
        <v>8.0939999999999941</v>
      </c>
      <c r="F19" s="2">
        <v>0</v>
      </c>
      <c r="G19" s="2">
        <v>0.72100000000000364</v>
      </c>
      <c r="H19" s="2">
        <v>18.920999999999992</v>
      </c>
      <c r="I19" s="2">
        <v>1.4039999999999964</v>
      </c>
      <c r="J19" s="2">
        <v>0</v>
      </c>
      <c r="K19" s="2">
        <v>26.23899999999999</v>
      </c>
      <c r="L19" s="2">
        <v>13.198999999999998</v>
      </c>
      <c r="M19" s="2">
        <v>25.479000000000013</v>
      </c>
      <c r="N19" s="4">
        <f t="shared" si="0"/>
        <v>138.755</v>
      </c>
      <c r="AU19" s="80" t="str">
        <f t="shared" si="2"/>
        <v>Butano</v>
      </c>
      <c r="AV19" s="81">
        <f>HLOOKUP(MAXA(B4:M4),$B$4:$M$49,15,FALSE)</f>
        <v>115.131</v>
      </c>
      <c r="AW19" s="81"/>
    </row>
    <row r="20" spans="1:49" ht="16.5" customHeight="1" x14ac:dyDescent="0.2">
      <c r="A20" s="9" t="s">
        <v>18</v>
      </c>
      <c r="B20" s="3">
        <v>151.98500000000001</v>
      </c>
      <c r="C20" s="2">
        <v>150.405</v>
      </c>
      <c r="D20" s="2">
        <v>125.714</v>
      </c>
      <c r="E20" s="2">
        <v>152.62799999999999</v>
      </c>
      <c r="F20" s="2">
        <v>162.30500000000001</v>
      </c>
      <c r="G20" s="2">
        <v>137.31100000000001</v>
      </c>
      <c r="H20" s="2">
        <v>142.62</v>
      </c>
      <c r="I20" s="2">
        <v>157.625</v>
      </c>
      <c r="J20" s="2">
        <v>132.96299999999999</v>
      </c>
      <c r="K20" s="2">
        <v>138.797</v>
      </c>
      <c r="L20" s="2">
        <v>111.91200000000001</v>
      </c>
      <c r="M20" s="2">
        <v>164.97399999999999</v>
      </c>
      <c r="N20" s="4">
        <f t="shared" si="0"/>
        <v>1729.239</v>
      </c>
      <c r="AU20" s="80" t="str">
        <f t="shared" si="2"/>
        <v>Propano</v>
      </c>
      <c r="AV20" s="81">
        <f>HLOOKUP(MAXA(B4:M4),$B$4:$M$49,16,FALSE)</f>
        <v>25.479000000000013</v>
      </c>
      <c r="AW20" s="81"/>
    </row>
    <row r="21" spans="1:4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AU21" s="80" t="str">
        <f t="shared" si="2"/>
        <v>Nafta</v>
      </c>
      <c r="AV21" s="81">
        <f>HLOOKUP(MAXA(B4:M4),$B$4:$M$49,17,FALSE)</f>
        <v>164.97399999999999</v>
      </c>
      <c r="AW21" s="81"/>
    </row>
    <row r="22" spans="1:49" ht="16.5" customHeight="1" x14ac:dyDescent="0.2">
      <c r="A22" s="9" t="s">
        <v>20</v>
      </c>
      <c r="B22" s="3">
        <v>104.45099999999999</v>
      </c>
      <c r="C22" s="2">
        <v>100.797</v>
      </c>
      <c r="D22" s="2">
        <v>107.002</v>
      </c>
      <c r="E22" s="2">
        <v>102.251</v>
      </c>
      <c r="F22" s="2">
        <v>104.72499999999999</v>
      </c>
      <c r="G22" s="2">
        <v>95.748999999999995</v>
      </c>
      <c r="H22" s="2">
        <v>79.078999999999994</v>
      </c>
      <c r="I22" s="2">
        <v>65.63</v>
      </c>
      <c r="J22" s="2">
        <v>90.228999999999999</v>
      </c>
      <c r="K22" s="2">
        <v>87.45</v>
      </c>
      <c r="L22" s="2">
        <v>103.256</v>
      </c>
      <c r="M22" s="2">
        <v>97.415000000000006</v>
      </c>
      <c r="N22" s="4">
        <f t="shared" si="0"/>
        <v>1138.0340000000001</v>
      </c>
      <c r="AU22" s="80" t="str">
        <f t="shared" si="2"/>
        <v>Gasolina 97 I.O.</v>
      </c>
      <c r="AV22" s="81">
        <f>HLOOKUP(MAXA(B4:M4),$B$4:$M$49,18,FALSE)</f>
        <v>0</v>
      </c>
      <c r="AW22" s="81"/>
    </row>
    <row r="23" spans="1:49" ht="16.5" customHeight="1" x14ac:dyDescent="0.2">
      <c r="A23" s="9" t="s">
        <v>21</v>
      </c>
      <c r="B23" s="3">
        <v>4.3689999999999998</v>
      </c>
      <c r="C23" s="2">
        <v>10.430999999999999</v>
      </c>
      <c r="D23" s="2">
        <v>6.8049999999999997</v>
      </c>
      <c r="E23" s="2">
        <v>8.7070000000000007</v>
      </c>
      <c r="F23" s="2">
        <v>13.742000000000001</v>
      </c>
      <c r="G23" s="2">
        <v>10.093999999999999</v>
      </c>
      <c r="H23" s="2">
        <v>7.5359999999999996</v>
      </c>
      <c r="I23" s="2">
        <v>4.6150000000000002</v>
      </c>
      <c r="J23" s="2">
        <v>12.417</v>
      </c>
      <c r="K23" s="2">
        <v>6.4210000000000003</v>
      </c>
      <c r="L23" s="2">
        <v>4.7949999999999999</v>
      </c>
      <c r="M23" s="2">
        <v>5.5869999999999997</v>
      </c>
      <c r="N23" s="4">
        <f t="shared" si="0"/>
        <v>95.51900000000002</v>
      </c>
      <c r="AU23" s="80" t="str">
        <f t="shared" si="2"/>
        <v>Gasolina 95 I.O.</v>
      </c>
      <c r="AV23" s="81">
        <f>HLOOKUP(MAXA(B4:M4),$B$4:$M$49,19,FALSE)</f>
        <v>97.415000000000006</v>
      </c>
      <c r="AW23" s="81"/>
    </row>
    <row r="24" spans="1:4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AU24" s="80" t="str">
        <f t="shared" si="2"/>
        <v>Gasolina 98 I.O.</v>
      </c>
      <c r="AV24" s="81">
        <f>HLOOKUP(MAXA(B4:M4),$B$4:$M$49,20,FALSE)</f>
        <v>5.5869999999999997</v>
      </c>
      <c r="AW24" s="81"/>
    </row>
    <row r="25" spans="1:49" ht="16.5" customHeight="1" x14ac:dyDescent="0.2">
      <c r="A25" s="9" t="s">
        <v>23</v>
      </c>
      <c r="B25" s="3">
        <v>746.77500000000009</v>
      </c>
      <c r="C25" s="2">
        <v>593.98899999999992</v>
      </c>
      <c r="D25" s="2">
        <v>650.19499999999994</v>
      </c>
      <c r="E25" s="2">
        <v>724.36799999999994</v>
      </c>
      <c r="F25" s="2">
        <v>757.63400000000001</v>
      </c>
      <c r="G25" s="2">
        <v>648.99199999999996</v>
      </c>
      <c r="H25" s="2">
        <v>799.53599999999994</v>
      </c>
      <c r="I25" s="2">
        <v>795.476</v>
      </c>
      <c r="J25" s="2">
        <v>722.02499999999998</v>
      </c>
      <c r="K25" s="2">
        <v>670.45699999999999</v>
      </c>
      <c r="L25" s="2">
        <v>674.23</v>
      </c>
      <c r="M25" s="2">
        <v>743.75700000000006</v>
      </c>
      <c r="N25" s="4">
        <f t="shared" si="0"/>
        <v>8527.4339999999993</v>
      </c>
      <c r="AU25" s="80" t="str">
        <f t="shared" si="2"/>
        <v>Gasolina de Aviación</v>
      </c>
      <c r="AV25" s="81">
        <f>HLOOKUP(MAXA(B4:M4),$B$4:$M$49,21,FALSE)</f>
        <v>0</v>
      </c>
      <c r="AW25" s="81"/>
    </row>
    <row r="26" spans="1:4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AU26" s="80" t="str">
        <f t="shared" si="2"/>
        <v>Otras Gasolinas</v>
      </c>
      <c r="AV26" s="81">
        <f>HLOOKUP(MAXA(B4:M4),$B$4:$M$49,22,FALSE)</f>
        <v>743.75700000000006</v>
      </c>
      <c r="AW26" s="81"/>
    </row>
    <row r="27" spans="1:4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AU27" s="80" t="str">
        <f t="shared" si="2"/>
        <v>Bioetanol</v>
      </c>
      <c r="AV27" s="81">
        <f>HLOOKUP(MAXA(B4:M4),$B$4:$M$49,23,FALSE)</f>
        <v>0</v>
      </c>
      <c r="AW27" s="81"/>
    </row>
    <row r="28" spans="1:49" ht="16.5" customHeight="1" x14ac:dyDescent="0.2">
      <c r="A28" s="9" t="s">
        <v>26</v>
      </c>
      <c r="B28" s="3">
        <v>51.722999999999999</v>
      </c>
      <c r="C28" s="2">
        <v>47.917000000000002</v>
      </c>
      <c r="D28" s="2">
        <v>45.72</v>
      </c>
      <c r="E28" s="2">
        <v>40.491</v>
      </c>
      <c r="F28" s="2">
        <v>40.094000000000001</v>
      </c>
      <c r="G28" s="2">
        <v>39.798999999999999</v>
      </c>
      <c r="H28" s="2">
        <v>41.496000000000002</v>
      </c>
      <c r="I28" s="2">
        <v>35.677</v>
      </c>
      <c r="J28" s="2">
        <v>50.930999999999997</v>
      </c>
      <c r="K28" s="2">
        <v>49.314999999999998</v>
      </c>
      <c r="L28" s="2">
        <v>45.402000000000001</v>
      </c>
      <c r="M28" s="2">
        <v>47.030999999999999</v>
      </c>
      <c r="N28" s="4">
        <f t="shared" si="0"/>
        <v>535.59599999999989</v>
      </c>
      <c r="AU28" s="80" t="str">
        <f t="shared" si="2"/>
        <v>Gasolinas Mezcla</v>
      </c>
      <c r="AV28" s="81">
        <f>HLOOKUP(MAXA(B4:M4),$B$4:$M$49,24,FALSE)</f>
        <v>0</v>
      </c>
      <c r="AW28" s="81"/>
    </row>
    <row r="29" spans="1:49" ht="33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AU29" s="80" t="str">
        <f t="shared" si="2"/>
        <v>Queroseno aviac. Jet A1</v>
      </c>
      <c r="AV29" s="81">
        <f>HLOOKUP(MAXA(B4:M4),$B$4:$M$49,25,FALSE)</f>
        <v>47.030999999999999</v>
      </c>
      <c r="AW29" s="81"/>
    </row>
    <row r="30" spans="1:49" ht="21.75" customHeight="1" x14ac:dyDescent="0.2">
      <c r="A30" s="9" t="s">
        <v>28</v>
      </c>
      <c r="B30" s="3">
        <v>895.24099999999999</v>
      </c>
      <c r="C30" s="2">
        <v>847.84</v>
      </c>
      <c r="D30" s="2">
        <v>801.21</v>
      </c>
      <c r="E30" s="2">
        <v>767.08299999999997</v>
      </c>
      <c r="F30" s="2">
        <v>891.09799999999996</v>
      </c>
      <c r="G30" s="2">
        <v>791.65700000000004</v>
      </c>
      <c r="H30" s="2">
        <v>862.50699999999995</v>
      </c>
      <c r="I30" s="2">
        <v>850.21199999999999</v>
      </c>
      <c r="J30" s="2">
        <v>766.79899999999998</v>
      </c>
      <c r="K30" s="2">
        <v>846.28200000000004</v>
      </c>
      <c r="L30" s="2">
        <v>736.69100000000003</v>
      </c>
      <c r="M30" s="2">
        <v>784.56600000000003</v>
      </c>
      <c r="N30" s="4">
        <f t="shared" si="0"/>
        <v>9841.1860000000015</v>
      </c>
      <c r="AU30" s="80" t="str">
        <f t="shared" si="2"/>
        <v>Queroseno aviac. Jet A2</v>
      </c>
      <c r="AV30" s="81">
        <f>HLOOKUP(MAXA(B4:M4),$B$4:$M$49,26,FALSE)</f>
        <v>0</v>
      </c>
      <c r="AW30" s="81"/>
    </row>
    <row r="31" spans="1:4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  <c r="AU31" s="80" t="str">
        <f t="shared" si="2"/>
        <v>Otros Querosenos</v>
      </c>
      <c r="AV31" s="81">
        <f>HLOOKUP(MAXA(B4:M4),$B$4:$M$49,27,FALSE)</f>
        <v>784.56600000000003</v>
      </c>
      <c r="AW31" s="81"/>
    </row>
    <row r="32" spans="1:49" ht="16.5" customHeight="1" x14ac:dyDescent="0.2">
      <c r="A32" s="9" t="s">
        <v>30</v>
      </c>
      <c r="B32" s="3">
        <v>245.779</v>
      </c>
      <c r="C32" s="2">
        <v>218.411</v>
      </c>
      <c r="D32" s="2">
        <v>268.529</v>
      </c>
      <c r="E32" s="2">
        <v>271.846</v>
      </c>
      <c r="F32" s="2">
        <v>268.11700000000002</v>
      </c>
      <c r="G32" s="2">
        <v>189.79</v>
      </c>
      <c r="H32" s="2">
        <v>250.96199999999999</v>
      </c>
      <c r="I32" s="2">
        <v>263.01499999999999</v>
      </c>
      <c r="J32" s="2">
        <v>251.733</v>
      </c>
      <c r="K32" s="2">
        <v>235.096</v>
      </c>
      <c r="L32" s="2">
        <v>235.828</v>
      </c>
      <c r="M32" s="2">
        <v>244.75200000000001</v>
      </c>
      <c r="N32" s="4">
        <f t="shared" si="0"/>
        <v>2943.8580000000002</v>
      </c>
      <c r="AU32" s="80" t="str">
        <f t="shared" si="2"/>
        <v>Gasóleo A</v>
      </c>
      <c r="AV32" s="81">
        <f>HLOOKUP(MAXA(B4:M4),$B$4:$M$49,28,FALSE)</f>
        <v>0</v>
      </c>
      <c r="AW32" s="81"/>
    </row>
    <row r="33" spans="1:49" ht="16.5" customHeight="1" x14ac:dyDescent="0.2">
      <c r="A33" s="9" t="s">
        <v>31</v>
      </c>
      <c r="B33" s="3">
        <v>35.982999999999997</v>
      </c>
      <c r="C33" s="2">
        <v>46.74</v>
      </c>
      <c r="D33" s="2">
        <v>23.43</v>
      </c>
      <c r="E33" s="2">
        <v>27.341000000000001</v>
      </c>
      <c r="F33" s="2">
        <v>34.960999999999999</v>
      </c>
      <c r="G33" s="2">
        <v>22.378</v>
      </c>
      <c r="H33" s="2">
        <v>28.337</v>
      </c>
      <c r="I33" s="2">
        <v>19.952000000000002</v>
      </c>
      <c r="J33" s="2">
        <v>21.782</v>
      </c>
      <c r="K33" s="2">
        <v>27.518000000000001</v>
      </c>
      <c r="L33" s="2">
        <v>39.524999999999999</v>
      </c>
      <c r="M33" s="2">
        <v>38.040999999999997</v>
      </c>
      <c r="N33" s="4">
        <f t="shared" si="0"/>
        <v>365.98799999999989</v>
      </c>
      <c r="AU33" s="80" t="str">
        <f t="shared" si="2"/>
        <v>Gasóleo A 10 PPM</v>
      </c>
      <c r="AV33" s="81">
        <f>HLOOKUP(MAXA(B4:M4),$B$4:$M$49,29,FALSE)</f>
        <v>244.75200000000001</v>
      </c>
      <c r="AW33" s="81"/>
    </row>
    <row r="34" spans="1:49" ht="16.5" customHeight="1" x14ac:dyDescent="0.2">
      <c r="A34" s="9" t="s">
        <v>32</v>
      </c>
      <c r="B34" s="3">
        <v>13.041</v>
      </c>
      <c r="C34" s="2">
        <v>19.974</v>
      </c>
      <c r="D34" s="2">
        <v>7.0830000000000002</v>
      </c>
      <c r="E34" s="2">
        <v>6.8419999999999996</v>
      </c>
      <c r="F34" s="2">
        <v>7.3479999999999999</v>
      </c>
      <c r="G34" s="2">
        <v>4.2850000000000001</v>
      </c>
      <c r="H34" s="2">
        <v>3.3490000000000002</v>
      </c>
      <c r="I34" s="2">
        <v>2.9279999999999999</v>
      </c>
      <c r="J34" s="2">
        <v>4.9349999999999996</v>
      </c>
      <c r="K34" s="2">
        <v>15.093999999999999</v>
      </c>
      <c r="L34" s="2">
        <v>15.789</v>
      </c>
      <c r="M34" s="2">
        <v>11.247999999999999</v>
      </c>
      <c r="N34" s="4">
        <f t="shared" si="0"/>
        <v>111.916</v>
      </c>
      <c r="AU34" s="80" t="str">
        <f t="shared" si="2"/>
        <v>Gasóleo B</v>
      </c>
      <c r="AV34" s="81">
        <f>HLOOKUP(MAXA(B4:M4),$B$4:$M$49,30,FALSE)</f>
        <v>38.040999999999997</v>
      </c>
      <c r="AW34" s="81"/>
    </row>
    <row r="35" spans="1:49" ht="16.5" customHeight="1" x14ac:dyDescent="0.2">
      <c r="A35" s="9" t="s">
        <v>33</v>
      </c>
      <c r="B35" s="3">
        <v>63.41</v>
      </c>
      <c r="C35" s="2">
        <v>61.116</v>
      </c>
      <c r="D35" s="2">
        <v>61.688000000000002</v>
      </c>
      <c r="E35" s="2">
        <v>54.295999999999999</v>
      </c>
      <c r="F35" s="2">
        <v>24.411000000000001</v>
      </c>
      <c r="G35" s="2">
        <v>31.623000000000001</v>
      </c>
      <c r="H35" s="2">
        <v>46.93</v>
      </c>
      <c r="I35" s="2">
        <v>55.896999999999998</v>
      </c>
      <c r="J35" s="2">
        <v>58.713999999999999</v>
      </c>
      <c r="K35" s="2">
        <v>68.896000000000001</v>
      </c>
      <c r="L35" s="2">
        <v>71.676000000000002</v>
      </c>
      <c r="M35" s="2">
        <v>62.74</v>
      </c>
      <c r="N35" s="4">
        <f t="shared" si="0"/>
        <v>661.39700000000005</v>
      </c>
      <c r="AU35" s="80" t="str">
        <f t="shared" si="2"/>
        <v>Gasóleo C</v>
      </c>
      <c r="AV35" s="81">
        <f>HLOOKUP(MAXA(B4:M4),$B$4:$M$49,31,FALSE)</f>
        <v>11.247999999999999</v>
      </c>
      <c r="AW35" s="81"/>
    </row>
    <row r="36" spans="1:49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  <c r="AU36" s="80" t="str">
        <f t="shared" si="2"/>
        <v>Gasóleo para uso marítimo</v>
      </c>
      <c r="AV36" s="81">
        <f>HLOOKUP(MAXA(B4:M4),$B$4:$M$49,32,FALSE)</f>
        <v>62.74</v>
      </c>
      <c r="AW36" s="81"/>
    </row>
    <row r="37" spans="1:49" ht="16.5" customHeight="1" x14ac:dyDescent="0.2">
      <c r="A37" s="9" t="s">
        <v>35</v>
      </c>
      <c r="B37" s="3">
        <v>1932.47</v>
      </c>
      <c r="C37" s="2">
        <v>1785.8960000000002</v>
      </c>
      <c r="D37" s="2">
        <v>1790.7059999999999</v>
      </c>
      <c r="E37" s="2">
        <v>1744.5520000000001</v>
      </c>
      <c r="F37" s="2">
        <v>1900.4830000000002</v>
      </c>
      <c r="G37" s="2">
        <v>1689.923</v>
      </c>
      <c r="H37" s="2">
        <v>1784.0399999999997</v>
      </c>
      <c r="I37" s="2">
        <v>1765.1760000000002</v>
      </c>
      <c r="J37" s="2">
        <v>1620.6510000000001</v>
      </c>
      <c r="K37" s="2">
        <v>1733.66</v>
      </c>
      <c r="L37" s="2">
        <v>1528.5329999999999</v>
      </c>
      <c r="M37" s="2">
        <v>1780.252</v>
      </c>
      <c r="N37" s="4">
        <f t="shared" si="0"/>
        <v>21056.342000000001</v>
      </c>
      <c r="AU37" s="80" t="str">
        <f t="shared" si="2"/>
        <v>Diésel para uso marítimo</v>
      </c>
      <c r="AV37" s="81">
        <f>HLOOKUP(MAXA(B4:M4),$B$4:$M$49,33,FALSE)</f>
        <v>0</v>
      </c>
      <c r="AW37" s="81"/>
    </row>
    <row r="38" spans="1:49" ht="16.5" customHeight="1" x14ac:dyDescent="0.2">
      <c r="A38" s="9" t="s">
        <v>36</v>
      </c>
      <c r="B38" s="3">
        <v>8.4109999999999996</v>
      </c>
      <c r="C38" s="2">
        <v>7.27</v>
      </c>
      <c r="D38" s="2">
        <v>18.771000000000001</v>
      </c>
      <c r="E38" s="2">
        <v>29.706</v>
      </c>
      <c r="F38" s="2">
        <v>38.770000000000003</v>
      </c>
      <c r="G38" s="2">
        <v>37.173000000000002</v>
      </c>
      <c r="H38" s="2">
        <v>38.064</v>
      </c>
      <c r="I38" s="2">
        <v>40.988</v>
      </c>
      <c r="J38" s="2">
        <v>27.469000000000001</v>
      </c>
      <c r="K38" s="2">
        <v>23.576000000000001</v>
      </c>
      <c r="L38" s="2">
        <v>36.21</v>
      </c>
      <c r="M38" s="2">
        <v>14.125</v>
      </c>
      <c r="N38" s="4">
        <f t="shared" si="0"/>
        <v>320.53299999999996</v>
      </c>
      <c r="AU38" s="80" t="str">
        <f t="shared" si="2"/>
        <v>Otros Gasóleos</v>
      </c>
      <c r="AV38" s="81">
        <f>HLOOKUP(MAXA(B4:M4),$B$4:$M$49,34,FALSE)</f>
        <v>1780.252</v>
      </c>
      <c r="AW38" s="81"/>
    </row>
    <row r="39" spans="1:49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  <c r="AU39" s="80" t="str">
        <f t="shared" si="2"/>
        <v>Biodiesel</v>
      </c>
      <c r="AV39" s="81">
        <f>HLOOKUP(MAXA(B4:M4),$B$4:$M$49,35,FALSE)</f>
        <v>14.125</v>
      </c>
      <c r="AW39" s="81"/>
    </row>
    <row r="40" spans="1:49" ht="16.5" customHeight="1" x14ac:dyDescent="0.2">
      <c r="A40" s="9" t="s">
        <v>38</v>
      </c>
      <c r="B40" s="3">
        <v>0</v>
      </c>
      <c r="C40" s="2">
        <v>1E-3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1E-3</v>
      </c>
      <c r="N40" s="4">
        <f t="shared" si="0"/>
        <v>2E-3</v>
      </c>
      <c r="AU40" s="80" t="str">
        <f t="shared" si="2"/>
        <v>Biodiesel Mezcla</v>
      </c>
      <c r="AV40" s="81">
        <f>HLOOKUP(MAXA(B4:M4),$B$4:$M$49,36,FALSE)</f>
        <v>0</v>
      </c>
      <c r="AW40" s="81"/>
    </row>
    <row r="41" spans="1:49" ht="16.5" customHeight="1" x14ac:dyDescent="0.2">
      <c r="A41" s="9" t="s">
        <v>39</v>
      </c>
      <c r="B41" s="3">
        <v>0</v>
      </c>
      <c r="C41" s="2">
        <v>0</v>
      </c>
      <c r="D41" s="2">
        <v>3.6320000000000001</v>
      </c>
      <c r="E41" s="2">
        <v>0</v>
      </c>
      <c r="F41" s="2">
        <v>1.3049999999999999</v>
      </c>
      <c r="G41" s="2">
        <v>0.7</v>
      </c>
      <c r="H41" s="2">
        <v>0.152</v>
      </c>
      <c r="I41" s="2">
        <v>0</v>
      </c>
      <c r="J41" s="2">
        <v>0</v>
      </c>
      <c r="K41" s="2">
        <v>2.8000000000000001E-2</v>
      </c>
      <c r="L41" s="2">
        <v>1.2E-2</v>
      </c>
      <c r="M41" s="2">
        <v>0</v>
      </c>
      <c r="N41" s="4">
        <f t="shared" si="0"/>
        <v>5.8289999999999997</v>
      </c>
      <c r="AU41" s="80" t="str">
        <f t="shared" si="2"/>
        <v>Fuelóleo BIA</v>
      </c>
      <c r="AV41" s="81">
        <f>HLOOKUP(MAXA(B4:M4),$B$4:$M$49,37,FALSE)</f>
        <v>1E-3</v>
      </c>
      <c r="AW41" s="81"/>
    </row>
    <row r="42" spans="1:49" ht="16.5" customHeight="1" x14ac:dyDescent="0.2">
      <c r="A42" s="9" t="s">
        <v>60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  <c r="AU42" s="80" t="str">
        <f t="shared" si="2"/>
        <v>Fuelóleo de refineria</v>
      </c>
      <c r="AV42" s="81">
        <f>HLOOKUP(MAXA(B4:M4),$B$4:$M$49,38,FALSE)</f>
        <v>0</v>
      </c>
      <c r="AW42" s="81"/>
    </row>
    <row r="43" spans="1:49" ht="16.5" customHeight="1" x14ac:dyDescent="0.2">
      <c r="A43" s="9" t="s">
        <v>40</v>
      </c>
      <c r="B43" s="3">
        <v>450.274</v>
      </c>
      <c r="C43" s="2">
        <v>328.14400000000001</v>
      </c>
      <c r="D43" s="2">
        <v>407.99200000000002</v>
      </c>
      <c r="E43" s="2">
        <v>432.93200000000002</v>
      </c>
      <c r="F43" s="2">
        <v>451.30899999999997</v>
      </c>
      <c r="G43" s="2">
        <v>425.28399999999999</v>
      </c>
      <c r="H43" s="2">
        <v>416.22699999999998</v>
      </c>
      <c r="I43" s="2">
        <v>384.89699999999999</v>
      </c>
      <c r="J43" s="2">
        <v>376.89400000000001</v>
      </c>
      <c r="K43" s="2">
        <v>322.41199999999998</v>
      </c>
      <c r="L43" s="2">
        <v>271.10300000000001</v>
      </c>
      <c r="M43" s="2">
        <v>383.76700000000005</v>
      </c>
      <c r="N43" s="4">
        <f t="shared" si="0"/>
        <v>4651.2349999999988</v>
      </c>
      <c r="AU43" s="80" t="str">
        <f t="shared" si="2"/>
        <v>Otros combustibles para uso marítimo</v>
      </c>
      <c r="AV43" s="81">
        <f>HLOOKUP(MAXA(B4:M4),$B$4:$M$49,39,FALSE)</f>
        <v>0</v>
      </c>
      <c r="AW43" s="81"/>
    </row>
    <row r="44" spans="1:49" ht="16.5" customHeight="1" x14ac:dyDescent="0.2">
      <c r="A44" s="9" t="s">
        <v>41</v>
      </c>
      <c r="B44" s="3">
        <v>26.797000000000001</v>
      </c>
      <c r="C44" s="2">
        <v>22.974</v>
      </c>
      <c r="D44" s="2">
        <v>24.135999999999999</v>
      </c>
      <c r="E44" s="2">
        <v>24.268999999999998</v>
      </c>
      <c r="F44" s="2">
        <v>21.446000000000002</v>
      </c>
      <c r="G44" s="2">
        <v>19.661000000000001</v>
      </c>
      <c r="H44" s="2">
        <v>29.905000000000001</v>
      </c>
      <c r="I44" s="2">
        <v>26.986000000000001</v>
      </c>
      <c r="J44" s="2">
        <v>23.268000000000001</v>
      </c>
      <c r="K44" s="2">
        <v>23.844999999999999</v>
      </c>
      <c r="L44" s="2">
        <v>12.422000000000001</v>
      </c>
      <c r="M44" s="2">
        <v>24.454999999999998</v>
      </c>
      <c r="N44" s="4">
        <f t="shared" si="0"/>
        <v>280.16399999999999</v>
      </c>
      <c r="AU44" s="80" t="str">
        <f t="shared" si="2"/>
        <v>Otros Fuelóleos</v>
      </c>
      <c r="AV44" s="81">
        <f>HLOOKUP(MAXA(B4:M4),$B$4:$M$49,40,FALSE)</f>
        <v>383.76700000000005</v>
      </c>
      <c r="AW44" s="81"/>
    </row>
    <row r="45" spans="1:49" ht="16.5" customHeight="1" x14ac:dyDescent="0.2">
      <c r="A45" s="9" t="s">
        <v>42</v>
      </c>
      <c r="B45" s="3">
        <v>120.874</v>
      </c>
      <c r="C45" s="2">
        <v>138.21100000000001</v>
      </c>
      <c r="D45" s="2">
        <v>163.62700000000001</v>
      </c>
      <c r="E45" s="2">
        <v>177.46</v>
      </c>
      <c r="F45" s="2">
        <v>137.023</v>
      </c>
      <c r="G45" s="2">
        <v>156.24799999999999</v>
      </c>
      <c r="H45" s="2">
        <v>175.59800000000001</v>
      </c>
      <c r="I45" s="2">
        <v>174.352</v>
      </c>
      <c r="J45" s="2">
        <v>180.56399999999999</v>
      </c>
      <c r="K45" s="2">
        <v>165.001</v>
      </c>
      <c r="L45" s="2">
        <v>123.381</v>
      </c>
      <c r="M45" s="2">
        <v>156.809</v>
      </c>
      <c r="N45" s="4">
        <f t="shared" si="0"/>
        <v>1869.1480000000001</v>
      </c>
      <c r="AU45" s="80" t="str">
        <f t="shared" si="2"/>
        <v>Aceites y bases lubricantes</v>
      </c>
      <c r="AV45" s="81">
        <f>HLOOKUP(MAXA(B4:M4),$B$4:$M$49,41,FALSE)</f>
        <v>24.454999999999998</v>
      </c>
      <c r="AW45" s="81"/>
    </row>
    <row r="46" spans="1:49" ht="16.5" customHeight="1" x14ac:dyDescent="0.2">
      <c r="A46" s="9" t="s">
        <v>43</v>
      </c>
      <c r="B46" s="3">
        <v>8.6430000000000007</v>
      </c>
      <c r="C46" s="2">
        <v>12.215999999999999</v>
      </c>
      <c r="D46" s="2">
        <v>12.93</v>
      </c>
      <c r="E46" s="2">
        <v>10.641999999999999</v>
      </c>
      <c r="F46" s="2">
        <v>10.715</v>
      </c>
      <c r="G46" s="2">
        <v>10.055999999999999</v>
      </c>
      <c r="H46" s="2">
        <v>11.307</v>
      </c>
      <c r="I46" s="2">
        <v>9.4489999999999998</v>
      </c>
      <c r="J46" s="2">
        <v>10.199</v>
      </c>
      <c r="K46" s="2">
        <v>9.4269999999999996</v>
      </c>
      <c r="L46" s="2">
        <v>0</v>
      </c>
      <c r="M46" s="2">
        <v>5.6609999999999996</v>
      </c>
      <c r="N46" s="4">
        <f t="shared" si="0"/>
        <v>111.245</v>
      </c>
      <c r="AU46" s="80" t="str">
        <f t="shared" si="2"/>
        <v>Productos asfálticos</v>
      </c>
      <c r="AV46" s="81">
        <f>HLOOKUP(MAXA(B4:M4),$B$4:$M$49,42,FALSE)</f>
        <v>156.809</v>
      </c>
      <c r="AW46" s="81"/>
    </row>
    <row r="47" spans="1:49" ht="16.5" customHeight="1" x14ac:dyDescent="0.2">
      <c r="A47" s="9" t="s">
        <v>44</v>
      </c>
      <c r="B47" s="3">
        <v>6.7759999999999998</v>
      </c>
      <c r="C47" s="2">
        <v>6.7039999999999997</v>
      </c>
      <c r="D47" s="2">
        <v>6.0789999999999997</v>
      </c>
      <c r="E47" s="2">
        <v>6.58</v>
      </c>
      <c r="F47" s="2">
        <v>6.9459999999999997</v>
      </c>
      <c r="G47" s="2">
        <v>6.45</v>
      </c>
      <c r="H47" s="2">
        <v>6.3410000000000002</v>
      </c>
      <c r="I47" s="2">
        <v>5.8310000000000004</v>
      </c>
      <c r="J47" s="2">
        <v>5.5659999999999998</v>
      </c>
      <c r="K47" s="2">
        <v>5.7</v>
      </c>
      <c r="L47" s="2">
        <v>2.9910000000000001</v>
      </c>
      <c r="M47" s="2">
        <v>3.887</v>
      </c>
      <c r="N47" s="4">
        <f t="shared" si="0"/>
        <v>69.851000000000013</v>
      </c>
      <c r="AU47" s="80" t="str">
        <f t="shared" si="2"/>
        <v>Disolventes</v>
      </c>
      <c r="AV47" s="81">
        <f>HLOOKUP(MAXA(B4:M4),$B$4:$M$49,43,FALSE)</f>
        <v>5.6609999999999996</v>
      </c>
      <c r="AW47" s="81"/>
    </row>
    <row r="48" spans="1:49" ht="16.5" customHeight="1" x14ac:dyDescent="0.2">
      <c r="A48" s="9" t="s">
        <v>45</v>
      </c>
      <c r="B48" s="3">
        <v>276.36099999999999</v>
      </c>
      <c r="C48" s="2">
        <v>333.20699999999999</v>
      </c>
      <c r="D48" s="2">
        <v>286.33100000000002</v>
      </c>
      <c r="E48" s="2">
        <v>247.52699999999999</v>
      </c>
      <c r="F48" s="2">
        <v>280.86399999999998</v>
      </c>
      <c r="G48" s="2">
        <v>274.50299999999999</v>
      </c>
      <c r="H48" s="2">
        <v>303.47500000000002</v>
      </c>
      <c r="I48" s="2">
        <v>301.76100000000002</v>
      </c>
      <c r="J48" s="2">
        <v>271.81900000000002</v>
      </c>
      <c r="K48" s="2">
        <v>296.07799999999997</v>
      </c>
      <c r="L48" s="2">
        <v>329.41199999999998</v>
      </c>
      <c r="M48" s="2">
        <v>304.04000000000002</v>
      </c>
      <c r="N48" s="4">
        <f t="shared" si="0"/>
        <v>3505.3779999999997</v>
      </c>
      <c r="AU48" s="80" t="str">
        <f t="shared" si="2"/>
        <v>Parafinas</v>
      </c>
      <c r="AV48" s="81">
        <f>HLOOKUP(MAXA(B4:M4),$B$4:$M$49,44,FALSE)</f>
        <v>3.887</v>
      </c>
      <c r="AW48" s="81"/>
    </row>
    <row r="49" spans="1:49" ht="18" customHeight="1" x14ac:dyDescent="0.2">
      <c r="A49" s="10" t="s">
        <v>52</v>
      </c>
      <c r="B49" s="7">
        <v>178.6200000000008</v>
      </c>
      <c r="C49" s="5">
        <v>236.21699999999998</v>
      </c>
      <c r="D49" s="5">
        <v>80.967999999998938</v>
      </c>
      <c r="E49" s="5">
        <v>143.25099999999998</v>
      </c>
      <c r="F49" s="5">
        <v>222.02399999999852</v>
      </c>
      <c r="G49" s="5">
        <v>120.74400000000151</v>
      </c>
      <c r="H49" s="5">
        <v>212.26999999999953</v>
      </c>
      <c r="I49" s="5">
        <v>254.46400000000085</v>
      </c>
      <c r="J49" s="5">
        <v>162.32900000000063</v>
      </c>
      <c r="K49" s="5">
        <v>175.37199999999939</v>
      </c>
      <c r="L49" s="5">
        <v>272.31500000000051</v>
      </c>
      <c r="M49" s="5">
        <v>223.53300000000002</v>
      </c>
      <c r="N49" s="6">
        <f t="shared" si="0"/>
        <v>2282.1070000000004</v>
      </c>
      <c r="AU49" s="80" t="str">
        <f t="shared" si="2"/>
        <v>Coque de petróleo</v>
      </c>
      <c r="AV49" s="81">
        <f>HLOOKUP(MAXA(B4:M4),$B$4:$M$49,45,FALSE)</f>
        <v>304.04000000000002</v>
      </c>
      <c r="AW49" s="81"/>
    </row>
    <row r="50" spans="1:49" x14ac:dyDescent="0.2">
      <c r="F50" s="41"/>
      <c r="AU50" s="80" t="str">
        <f t="shared" si="2"/>
        <v>Otros Productos</v>
      </c>
      <c r="AV50" s="81">
        <f>HLOOKUP(MAXA(B4:M4),$B$4:$M$49,46,FALSE)</f>
        <v>223.53300000000002</v>
      </c>
      <c r="AW50" s="81"/>
    </row>
    <row r="51" spans="1:49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49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49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</row>
    <row r="54" spans="1:49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49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49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49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49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49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49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49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49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49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  <c r="AR63" s="72"/>
    </row>
    <row r="64" spans="1:49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94488188976377951" bottom="0.55118110236220474" header="0.31496062992125984" footer="0.31496062992125984"/>
  <pageSetup paperSize="9" scale="6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BI250"/>
  <sheetViews>
    <sheetView showGridLines="0" zoomScale="55" zoomScaleNormal="55" workbookViewId="0">
      <selection activeCell="N50" sqref="N50"/>
    </sheetView>
  </sheetViews>
  <sheetFormatPr baseColWidth="10" defaultColWidth="11.5" defaultRowHeight="14.25" x14ac:dyDescent="0.2"/>
  <cols>
    <col min="1" max="1" width="66.5" customWidth="1"/>
    <col min="7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  <col min="27" max="27" width="14.25" customWidth="1"/>
    <col min="43" max="43" width="10.125" customWidth="1"/>
    <col min="45" max="45" width="11.5" style="1"/>
    <col min="46" max="46" width="11.5" style="72" customWidth="1"/>
    <col min="47" max="47" width="36.75" style="72" customWidth="1"/>
    <col min="48" max="48" width="12.625" style="72" customWidth="1"/>
    <col min="49" max="49" width="11.5" style="72" customWidth="1"/>
    <col min="50" max="50" width="11.5" style="1"/>
    <col min="51" max="51" width="11.5" style="72"/>
    <col min="52" max="61" width="11.5" style="1"/>
  </cols>
  <sheetData>
    <row r="1" spans="1:61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Q1" s="53" t="str">
        <f>"MOVIMIENTO DE CRUDOS Y OBTENCIÓN DE PRODUCTOS PETROLÍFEROS - " &amp;AV3</f>
        <v>MOVIMIENTO DE CRUDOS Y OBTENCIÓN DE PRODUCTOS PETROLÍFEROS - DICIEMBRE 2025</v>
      </c>
      <c r="AE1" s="53" t="s">
        <v>64</v>
      </c>
    </row>
    <row r="2" spans="1:61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3" spans="1:61" x14ac:dyDescent="0.2">
      <c r="AS3" s="72"/>
      <c r="AV3" s="73" t="str">
        <f>UPPER(TEXT(MAXA(B4:M4),"mmmm aaaa"))</f>
        <v>DICIEMBRE 2025</v>
      </c>
    </row>
    <row r="4" spans="1:61" s="16" customFormat="1" ht="21" customHeight="1" x14ac:dyDescent="0.2">
      <c r="A4" s="11" t="s">
        <v>13</v>
      </c>
      <c r="B4" s="12">
        <v>45658</v>
      </c>
      <c r="C4" s="13">
        <v>45689</v>
      </c>
      <c r="D4" s="13">
        <v>45717</v>
      </c>
      <c r="E4" s="13">
        <v>45748</v>
      </c>
      <c r="F4" s="13">
        <v>45778</v>
      </c>
      <c r="G4" s="13">
        <v>45809</v>
      </c>
      <c r="H4" s="13">
        <v>45839</v>
      </c>
      <c r="I4" s="14">
        <v>45870</v>
      </c>
      <c r="J4" s="14">
        <v>45901</v>
      </c>
      <c r="K4" s="14">
        <v>45931</v>
      </c>
      <c r="L4" s="13">
        <v>45962</v>
      </c>
      <c r="M4" s="13">
        <v>45992</v>
      </c>
      <c r="N4" s="15" t="s">
        <v>63</v>
      </c>
      <c r="Q4" s="54"/>
      <c r="R4" s="54"/>
      <c r="S4" s="54"/>
      <c r="T4" s="54"/>
      <c r="U4" s="54"/>
      <c r="V4" s="54"/>
      <c r="W4" s="54"/>
      <c r="X4" s="54"/>
      <c r="Y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S4" s="74"/>
      <c r="AT4" s="74"/>
      <c r="AU4" s="74"/>
      <c r="AV4" s="74"/>
      <c r="AW4" s="74"/>
      <c r="AX4" s="83"/>
      <c r="AY4" s="74"/>
      <c r="AZ4" s="83"/>
      <c r="BA4" s="83"/>
      <c r="BB4" s="83"/>
      <c r="BC4" s="83"/>
      <c r="BD4" s="83"/>
      <c r="BE4" s="83"/>
      <c r="BF4" s="83"/>
      <c r="BG4" s="83"/>
      <c r="BH4" s="83"/>
      <c r="BI4" s="83"/>
    </row>
    <row r="5" spans="1:61" s="21" customFormat="1" ht="21" customHeight="1" x14ac:dyDescent="0.2">
      <c r="A5" s="17" t="s">
        <v>0</v>
      </c>
      <c r="B5" s="18">
        <v>0.40699999999999997</v>
      </c>
      <c r="C5" s="19">
        <v>0.23899999999999999</v>
      </c>
      <c r="D5" s="19">
        <v>0.17599999999999999</v>
      </c>
      <c r="E5" s="19">
        <v>6.0000000000000001E-3</v>
      </c>
      <c r="F5" s="19">
        <v>0</v>
      </c>
      <c r="G5" s="19">
        <v>0</v>
      </c>
      <c r="H5" s="19">
        <v>0</v>
      </c>
      <c r="I5" s="45">
        <v>0</v>
      </c>
      <c r="J5" s="19">
        <v>0</v>
      </c>
      <c r="K5" s="19">
        <v>8.3000000000000004E-2</v>
      </c>
      <c r="L5" s="19">
        <v>0.21</v>
      </c>
      <c r="M5" s="19">
        <v>0.17699999999999999</v>
      </c>
      <c r="N5" s="20">
        <f>SUM(B5:M5)</f>
        <v>1.2979999999999998</v>
      </c>
      <c r="P5" s="34"/>
      <c r="Q5" s="34"/>
      <c r="R5" s="47"/>
      <c r="AS5" s="75"/>
      <c r="AT5" s="75"/>
      <c r="AU5" s="75"/>
      <c r="AV5" s="75"/>
      <c r="AW5" s="75"/>
      <c r="AX5" s="32"/>
      <c r="AY5" s="75"/>
      <c r="AZ5" s="32"/>
      <c r="BA5" s="32"/>
      <c r="BB5" s="32"/>
      <c r="BC5" s="32"/>
      <c r="BD5" s="32"/>
      <c r="BE5" s="32"/>
      <c r="BF5" s="32"/>
      <c r="BG5" s="32"/>
      <c r="BH5" s="32"/>
      <c r="BI5" s="32"/>
    </row>
    <row r="6" spans="1:61" s="21" customFormat="1" ht="21" customHeight="1" x14ac:dyDescent="0.2">
      <c r="A6" s="22" t="s">
        <v>1</v>
      </c>
      <c r="B6" s="23">
        <v>5182.2709999999997</v>
      </c>
      <c r="C6" s="24">
        <v>5072.5690000000004</v>
      </c>
      <c r="D6" s="24">
        <v>5310.0219999999999</v>
      </c>
      <c r="E6" s="24">
        <v>4795.9139999999998</v>
      </c>
      <c r="F6" s="24">
        <v>4790.9260000000004</v>
      </c>
      <c r="G6" s="24">
        <v>4131.1869999999999</v>
      </c>
      <c r="H6" s="24">
        <v>5834.3440000000001</v>
      </c>
      <c r="I6" s="24">
        <v>5137.7950000000001</v>
      </c>
      <c r="J6" s="24">
        <v>5154.0079999999998</v>
      </c>
      <c r="K6" s="24">
        <v>5694.6390000000001</v>
      </c>
      <c r="L6" s="24">
        <v>5005.2659999999996</v>
      </c>
      <c r="M6" s="24">
        <v>5313.8450000000003</v>
      </c>
      <c r="N6" s="25">
        <f>SUM(B6:M6)</f>
        <v>61422.786000000007</v>
      </c>
      <c r="P6" s="34"/>
      <c r="Q6" s="34"/>
      <c r="R6" s="47"/>
      <c r="AS6" s="75"/>
      <c r="AT6" s="75"/>
      <c r="AU6" s="76" t="str">
        <f>A6</f>
        <v>IMPORTACIONES DE CRUDO</v>
      </c>
      <c r="AV6" s="77">
        <f>HLOOKUP(MAXA(B4:M4),$B$4:$M$6,3,FALSE)</f>
        <v>5313.8450000000003</v>
      </c>
      <c r="AW6" s="75"/>
      <c r="AX6" s="32"/>
      <c r="AY6" s="75"/>
      <c r="AZ6" s="32"/>
      <c r="BA6" s="32"/>
      <c r="BB6" s="32"/>
      <c r="BC6" s="32"/>
      <c r="BD6" s="32"/>
      <c r="BE6" s="32"/>
      <c r="BF6" s="32"/>
      <c r="BG6" s="32"/>
      <c r="BH6" s="32"/>
      <c r="BI6" s="32"/>
    </row>
    <row r="7" spans="1:61" s="21" customFormat="1" ht="21" customHeight="1" x14ac:dyDescent="0.2">
      <c r="A7" s="26" t="s">
        <v>2</v>
      </c>
      <c r="B7" s="27">
        <v>192.98100000000068</v>
      </c>
      <c r="C7" s="28">
        <v>-50.476000000000568</v>
      </c>
      <c r="D7" s="28">
        <v>-73.728000000000065</v>
      </c>
      <c r="E7" s="28">
        <v>159.61000000000058</v>
      </c>
      <c r="F7" s="28">
        <v>104.92299999999977</v>
      </c>
      <c r="G7" s="28">
        <v>15.831000000000131</v>
      </c>
      <c r="H7" s="28">
        <v>126.9989999999998</v>
      </c>
      <c r="I7" s="28">
        <v>-28.425999999999476</v>
      </c>
      <c r="J7" s="28">
        <v>211.86800000000039</v>
      </c>
      <c r="K7" s="28">
        <v>-79.953999999999724</v>
      </c>
      <c r="L7" s="28">
        <v>13.743000000000393</v>
      </c>
      <c r="M7" s="28">
        <v>100.20600000000013</v>
      </c>
      <c r="N7" s="29">
        <f t="shared" ref="N7:N49" si="0">SUM(B7:M7)</f>
        <v>693.57700000000204</v>
      </c>
      <c r="P7" s="34"/>
      <c r="Q7" s="34"/>
      <c r="R7" s="47"/>
      <c r="AS7" s="75"/>
      <c r="AT7" s="75"/>
      <c r="AU7" s="76" t="str">
        <f>A12</f>
        <v>TOTAL PROCESADO</v>
      </c>
      <c r="AV7" s="77">
        <f>HLOOKUP(MAXA(B4:M4),$B$4:$M$12,9,FALSE)</f>
        <v>5650.9429999999993</v>
      </c>
      <c r="AW7" s="75"/>
      <c r="AX7" s="32"/>
      <c r="AY7" s="75"/>
      <c r="AZ7" s="32"/>
      <c r="BA7" s="32"/>
      <c r="BB7" s="32"/>
      <c r="BC7" s="32"/>
      <c r="BD7" s="32"/>
      <c r="BE7" s="32"/>
      <c r="BF7" s="32"/>
      <c r="BG7" s="32"/>
      <c r="BH7" s="32"/>
      <c r="BI7" s="32"/>
    </row>
    <row r="8" spans="1:61" s="21" customFormat="1" ht="21" customHeight="1" x14ac:dyDescent="0.2">
      <c r="A8" s="26" t="s">
        <v>3</v>
      </c>
      <c r="B8" s="27">
        <v>-107.346</v>
      </c>
      <c r="C8" s="28">
        <v>299.65600000000001</v>
      </c>
      <c r="D8" s="28">
        <v>-7.0119999999999996</v>
      </c>
      <c r="E8" s="28">
        <v>257.46199999999999</v>
      </c>
      <c r="F8" s="28">
        <v>14.525</v>
      </c>
      <c r="G8" s="28">
        <v>-442.20400000000001</v>
      </c>
      <c r="H8" s="28">
        <v>308.077</v>
      </c>
      <c r="I8" s="28">
        <v>-227.25700000000001</v>
      </c>
      <c r="J8" s="28">
        <v>1.8280000000000001</v>
      </c>
      <c r="K8" s="28">
        <v>133.40100000000001</v>
      </c>
      <c r="L8" s="28">
        <v>-190.834</v>
      </c>
      <c r="M8" s="28">
        <v>-55.182000000000002</v>
      </c>
      <c r="N8" s="29">
        <f t="shared" si="0"/>
        <v>-14.886000000000038</v>
      </c>
      <c r="P8" s="34"/>
      <c r="Q8" s="34"/>
      <c r="R8" s="47"/>
      <c r="AS8" s="75"/>
      <c r="AT8" s="75"/>
      <c r="AU8" s="76" t="str">
        <f>A15</f>
        <v>PRODUCCION BRUTA DE REFINERIA</v>
      </c>
      <c r="AV8" s="77">
        <f>HLOOKUP(MAXA(B4:M4),$B$4:$M$15,12,FALSE)</f>
        <v>5571.9950000000008</v>
      </c>
      <c r="AW8" s="75"/>
      <c r="AX8" s="32"/>
      <c r="AY8" s="75"/>
      <c r="AZ8" s="32"/>
      <c r="BA8" s="32"/>
      <c r="BB8" s="32"/>
      <c r="BC8" s="32"/>
      <c r="BD8" s="32"/>
      <c r="BE8" s="32"/>
      <c r="BF8" s="32"/>
      <c r="BG8" s="32"/>
      <c r="BH8" s="32"/>
      <c r="BI8" s="32"/>
    </row>
    <row r="9" spans="1:61" s="21" customFormat="1" ht="21" customHeight="1" x14ac:dyDescent="0.2">
      <c r="A9" s="26" t="s">
        <v>4</v>
      </c>
      <c r="B9" s="27">
        <v>251.21299999999999</v>
      </c>
      <c r="C9" s="28">
        <v>1.2939999999999827</v>
      </c>
      <c r="D9" s="28">
        <v>-55.250999999999998</v>
      </c>
      <c r="E9" s="28">
        <v>124.38800000000003</v>
      </c>
      <c r="F9" s="28">
        <v>145.59700000000001</v>
      </c>
      <c r="G9" s="28">
        <v>-239.61200000000002</v>
      </c>
      <c r="H9" s="28">
        <v>113.23000000000002</v>
      </c>
      <c r="I9" s="28">
        <v>-86.409999999999968</v>
      </c>
      <c r="J9" s="28">
        <v>117.953</v>
      </c>
      <c r="K9" s="28">
        <v>-15.498000000000005</v>
      </c>
      <c r="L9" s="28">
        <v>37.441000000000003</v>
      </c>
      <c r="M9" s="28">
        <v>-110.76600000000001</v>
      </c>
      <c r="N9" s="29">
        <f t="shared" si="0"/>
        <v>283.57900000000001</v>
      </c>
      <c r="P9" s="34"/>
      <c r="Q9" s="34"/>
      <c r="R9" s="47"/>
      <c r="AS9" s="75"/>
      <c r="AT9" s="75"/>
      <c r="AU9" s="75"/>
      <c r="AV9" s="77"/>
      <c r="AW9" s="75"/>
      <c r="AX9" s="32"/>
      <c r="AY9" s="75"/>
      <c r="AZ9" s="32"/>
      <c r="BA9" s="32"/>
      <c r="BB9" s="32"/>
      <c r="BC9" s="32"/>
      <c r="BD9" s="32"/>
      <c r="BE9" s="32"/>
      <c r="BF9" s="32"/>
      <c r="BG9" s="32"/>
      <c r="BH9" s="32"/>
      <c r="BI9" s="32"/>
    </row>
    <row r="10" spans="1:61" s="21" customFormat="1" ht="21" customHeight="1" x14ac:dyDescent="0.2">
      <c r="A10" s="26" t="s">
        <v>5</v>
      </c>
      <c r="B10" s="27">
        <v>62.945999999999998</v>
      </c>
      <c r="C10" s="28">
        <v>55.45</v>
      </c>
      <c r="D10" s="28">
        <v>23.821999999999999</v>
      </c>
      <c r="E10" s="28">
        <v>18.233000000000001</v>
      </c>
      <c r="F10" s="28">
        <v>49.732999999999997</v>
      </c>
      <c r="G10" s="28">
        <v>16.376999999999999</v>
      </c>
      <c r="H10" s="28">
        <v>115.58</v>
      </c>
      <c r="I10" s="28">
        <v>81.14</v>
      </c>
      <c r="J10" s="28">
        <v>46.997999999999998</v>
      </c>
      <c r="K10" s="28">
        <v>72.234999999999999</v>
      </c>
      <c r="L10" s="28">
        <v>26.579000000000001</v>
      </c>
      <c r="M10" s="28">
        <v>70.766999999999996</v>
      </c>
      <c r="N10" s="29">
        <f t="shared" si="0"/>
        <v>639.8599999999999</v>
      </c>
      <c r="P10" s="34"/>
      <c r="Q10" s="34"/>
      <c r="R10" s="47"/>
      <c r="AS10" s="75"/>
      <c r="AT10" s="75"/>
      <c r="AU10" s="75"/>
      <c r="AV10" s="77"/>
      <c r="AW10" s="75"/>
      <c r="AX10" s="32"/>
      <c r="AY10" s="75"/>
      <c r="AZ10" s="32"/>
      <c r="BA10" s="32"/>
      <c r="BB10" s="32"/>
      <c r="BC10" s="32"/>
      <c r="BD10" s="32"/>
      <c r="BE10" s="32"/>
      <c r="BF10" s="32"/>
      <c r="BG10" s="32"/>
      <c r="BH10" s="32"/>
      <c r="BI10" s="32"/>
    </row>
    <row r="11" spans="1:61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55"/>
      <c r="R11" s="47"/>
      <c r="AS11" s="75"/>
      <c r="AT11" s="75"/>
      <c r="AU11" s="76" t="str">
        <f>A7</f>
        <v>IMPORTACIONES DE PROD. INTERMEDIOS Y MAT. AUXILIARES</v>
      </c>
      <c r="AV11" s="77">
        <f>HLOOKUP(MAXA(B4:M4),$B$4:$M$15,4,FALSE)</f>
        <v>100.20600000000013</v>
      </c>
      <c r="AW11" s="75"/>
      <c r="AX11" s="32"/>
      <c r="AY11" s="75"/>
      <c r="AZ11" s="32"/>
      <c r="BA11" s="32"/>
      <c r="BB11" s="32"/>
      <c r="BC11" s="32"/>
      <c r="BD11" s="32"/>
      <c r="BE11" s="32"/>
      <c r="BF11" s="32"/>
      <c r="BG11" s="32"/>
      <c r="BH11" s="32"/>
      <c r="BI11" s="32"/>
    </row>
    <row r="12" spans="1:61" s="31" customFormat="1" ht="21" customHeight="1" x14ac:dyDescent="0.2">
      <c r="A12" s="22" t="s">
        <v>7</v>
      </c>
      <c r="B12" s="24">
        <v>5294.7380000000012</v>
      </c>
      <c r="C12" s="24">
        <v>4776.8319999999994</v>
      </c>
      <c r="D12" s="24">
        <v>5322.5550000000003</v>
      </c>
      <c r="E12" s="24">
        <v>4591.9130000000014</v>
      </c>
      <c r="F12" s="24">
        <v>4785.4600000000009</v>
      </c>
      <c r="G12" s="24">
        <v>4845.2110000000002</v>
      </c>
      <c r="H12" s="24">
        <v>5655.616</v>
      </c>
      <c r="I12" s="24">
        <v>5504.1760000000004</v>
      </c>
      <c r="J12" s="24">
        <v>5293.0929999999989</v>
      </c>
      <c r="K12" s="24">
        <v>5569.0999999999995</v>
      </c>
      <c r="L12" s="24">
        <v>5199.1909999999998</v>
      </c>
      <c r="M12" s="24">
        <v>5650.9429999999993</v>
      </c>
      <c r="N12" s="25">
        <f>SUM(B12:M12)</f>
        <v>62488.827999999994</v>
      </c>
      <c r="P12" s="34"/>
      <c r="Q12" s="34"/>
      <c r="R12" s="47"/>
      <c r="S12" s="56"/>
      <c r="T12" s="56"/>
      <c r="U12" s="56"/>
      <c r="V12" s="56"/>
      <c r="W12" s="56"/>
      <c r="X12" s="56"/>
      <c r="Y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S12" s="86"/>
      <c r="AT12" s="78"/>
      <c r="AU12" s="76" t="str">
        <f>A8</f>
        <v>VARIACION DE STOCKS DE CRUDOS (Ef-Ei)</v>
      </c>
      <c r="AV12" s="79">
        <f>HLOOKUP(MAXA(B4:M4),$B$4:$M$15,5,FALSE)</f>
        <v>-55.182000000000002</v>
      </c>
      <c r="AW12" s="78"/>
      <c r="AX12" s="86"/>
      <c r="AY12" s="78"/>
      <c r="AZ12" s="86"/>
      <c r="BA12" s="86"/>
      <c r="BB12" s="86"/>
      <c r="BC12" s="86"/>
      <c r="BD12" s="86"/>
      <c r="BE12" s="86"/>
      <c r="BF12" s="86"/>
      <c r="BG12" s="86"/>
      <c r="BH12" s="86"/>
      <c r="BI12" s="86"/>
    </row>
    <row r="13" spans="1:61" s="21" customFormat="1" ht="21" customHeight="1" x14ac:dyDescent="0.2">
      <c r="A13" s="26" t="s">
        <v>12</v>
      </c>
      <c r="B13" s="27">
        <v>5290.0240000000003</v>
      </c>
      <c r="C13" s="28">
        <v>4773.152</v>
      </c>
      <c r="D13" s="28">
        <v>5317.21</v>
      </c>
      <c r="E13" s="28">
        <v>4538.4579999999996</v>
      </c>
      <c r="F13" s="28">
        <v>4776.4009999999998</v>
      </c>
      <c r="G13" s="28">
        <v>4573.3909999999996</v>
      </c>
      <c r="H13" s="28">
        <v>5526.2669999999998</v>
      </c>
      <c r="I13" s="28">
        <v>5365.0519999999997</v>
      </c>
      <c r="J13" s="28">
        <v>5152.18</v>
      </c>
      <c r="K13" s="28">
        <v>5561.3209999999999</v>
      </c>
      <c r="L13" s="28">
        <v>5196.3100000000004</v>
      </c>
      <c r="M13" s="28">
        <v>5369.2039999999997</v>
      </c>
      <c r="N13" s="29">
        <f t="shared" si="0"/>
        <v>61438.969999999987</v>
      </c>
      <c r="P13" s="34"/>
      <c r="Q13" s="34"/>
      <c r="R13" s="47"/>
      <c r="AS13" s="32"/>
      <c r="AT13" s="75"/>
      <c r="AU13" s="76" t="str">
        <f>A9</f>
        <v>APROVISIONAMIENTO DE PROD. INTERMEDIOS Y MAT. AUXILIARES</v>
      </c>
      <c r="AV13" s="77">
        <f>HLOOKUP(MAXA(B4:M4),$B$4:$M$15,6,FALSE)</f>
        <v>-110.76600000000001</v>
      </c>
      <c r="AW13" s="75"/>
      <c r="AX13" s="32"/>
      <c r="AY13" s="75"/>
      <c r="AZ13" s="32"/>
      <c r="BA13" s="32"/>
      <c r="BB13" s="32"/>
      <c r="BC13" s="32"/>
      <c r="BD13" s="32"/>
      <c r="BE13" s="32"/>
      <c r="BF13" s="32"/>
      <c r="BG13" s="32"/>
      <c r="BH13" s="32"/>
      <c r="BI13" s="32"/>
    </row>
    <row r="14" spans="1:61" s="21" customFormat="1" ht="21" customHeight="1" x14ac:dyDescent="0.2">
      <c r="A14" s="26" t="s">
        <v>8</v>
      </c>
      <c r="B14" s="27">
        <v>146.09300000000167</v>
      </c>
      <c r="C14" s="28">
        <v>81.216999999999643</v>
      </c>
      <c r="D14" s="28">
        <v>219.33000000000084</v>
      </c>
      <c r="E14" s="28">
        <v>72.440000000000509</v>
      </c>
      <c r="F14" s="28">
        <v>56.824999999999818</v>
      </c>
      <c r="G14" s="28">
        <v>61.341000000000349</v>
      </c>
      <c r="H14" s="28">
        <v>74.181999999999789</v>
      </c>
      <c r="I14" s="46">
        <v>55.079000000001543</v>
      </c>
      <c r="J14" s="28">
        <v>60.117000000000189</v>
      </c>
      <c r="K14" s="28">
        <v>114.07799999999952</v>
      </c>
      <c r="L14" s="28">
        <v>74.09099999999944</v>
      </c>
      <c r="M14" s="28">
        <v>78.947999999999411</v>
      </c>
      <c r="N14" s="29">
        <f t="shared" si="0"/>
        <v>1093.7410000000027</v>
      </c>
      <c r="P14" s="36"/>
      <c r="Q14" s="34"/>
      <c r="R14" s="47"/>
      <c r="S14" s="42"/>
      <c r="T14" s="42"/>
      <c r="U14" s="42"/>
      <c r="V14" s="42"/>
      <c r="W14" s="42"/>
      <c r="X14" s="42"/>
      <c r="Y14" s="42"/>
      <c r="AA14" s="42"/>
      <c r="AB14" s="42"/>
      <c r="AC14" s="42"/>
      <c r="AD14" s="42"/>
      <c r="AS14" s="32"/>
      <c r="AT14" s="75"/>
      <c r="AU14" s="76" t="str">
        <f>A10</f>
        <v>PRODUCTOS TRASPASADOS Y BACKFLOWS</v>
      </c>
      <c r="AV14" s="77">
        <f>HLOOKUP(MAXA(B4:M4),$B$4:$M$15,7,FALSE)</f>
        <v>70.766999999999996</v>
      </c>
      <c r="AW14" s="75"/>
      <c r="AX14" s="32"/>
      <c r="AY14" s="75"/>
      <c r="AZ14" s="32"/>
      <c r="BA14" s="32"/>
      <c r="BB14" s="32"/>
      <c r="BC14" s="32"/>
      <c r="BD14" s="32"/>
      <c r="BE14" s="32"/>
      <c r="BF14" s="32"/>
      <c r="BG14" s="32"/>
      <c r="BH14" s="32"/>
      <c r="BI14" s="32"/>
    </row>
    <row r="15" spans="1:61" s="32" customFormat="1" ht="21" customHeight="1" x14ac:dyDescent="0.2">
      <c r="A15" s="22" t="s">
        <v>9</v>
      </c>
      <c r="B15" s="24">
        <f t="shared" ref="B15:M15" si="1">SUM(B16:B49)</f>
        <v>5148.6449999999986</v>
      </c>
      <c r="C15" s="24">
        <f t="shared" si="1"/>
        <v>4695.6149999999998</v>
      </c>
      <c r="D15" s="24">
        <f t="shared" si="1"/>
        <v>5103.2249999999995</v>
      </c>
      <c r="E15" s="24">
        <f t="shared" si="1"/>
        <v>4519.473</v>
      </c>
      <c r="F15" s="24">
        <f t="shared" si="1"/>
        <v>4728.6350000000002</v>
      </c>
      <c r="G15" s="24">
        <f t="shared" si="1"/>
        <v>4783.87</v>
      </c>
      <c r="H15" s="24">
        <f t="shared" si="1"/>
        <v>5581.4340000000002</v>
      </c>
      <c r="I15" s="24">
        <f t="shared" si="1"/>
        <v>5449.0969999999998</v>
      </c>
      <c r="J15" s="24">
        <f t="shared" si="1"/>
        <v>5232.9759999999997</v>
      </c>
      <c r="K15" s="24">
        <f t="shared" si="1"/>
        <v>5455.0219999999999</v>
      </c>
      <c r="L15" s="24">
        <f t="shared" si="1"/>
        <v>5125.1000000000004</v>
      </c>
      <c r="M15" s="24">
        <f t="shared" si="1"/>
        <v>5571.9950000000008</v>
      </c>
      <c r="N15" s="25">
        <f t="shared" si="0"/>
        <v>61395.087</v>
      </c>
      <c r="Q15" s="21"/>
      <c r="R15" s="42"/>
      <c r="S15" s="42"/>
      <c r="T15" s="42"/>
      <c r="U15" s="42"/>
      <c r="V15" s="42"/>
      <c r="W15" s="42"/>
      <c r="X15" s="42"/>
      <c r="Y15" s="42"/>
      <c r="AA15" s="42"/>
      <c r="AB15" s="42"/>
      <c r="AC15" s="42"/>
      <c r="AD15" s="42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T15" s="75"/>
      <c r="AU15" s="76" t="str">
        <f>A11</f>
        <v>CONSUMO DIRECTO DE CRUDO</v>
      </c>
      <c r="AV15" s="77">
        <f>HLOOKUP(MAXA(B4:M4),$B$4:$M$15,8,FALSE)</f>
        <v>0</v>
      </c>
      <c r="AW15" s="75"/>
      <c r="AY15" s="75"/>
    </row>
    <row r="16" spans="1:61" ht="16.5" customHeight="1" x14ac:dyDescent="0.2">
      <c r="A16" s="9" t="s">
        <v>14</v>
      </c>
      <c r="B16" s="3">
        <v>172.273</v>
      </c>
      <c r="C16" s="2">
        <v>187.315</v>
      </c>
      <c r="D16" s="2">
        <v>216.72200000000001</v>
      </c>
      <c r="E16" s="2">
        <v>169.70699999999999</v>
      </c>
      <c r="F16" s="2">
        <v>143.37700000000001</v>
      </c>
      <c r="G16" s="2">
        <v>162.38999999999999</v>
      </c>
      <c r="H16" s="2">
        <v>174.90899999999999</v>
      </c>
      <c r="I16" s="2">
        <v>190.39699999999999</v>
      </c>
      <c r="J16" s="2">
        <v>177.41</v>
      </c>
      <c r="K16" s="2">
        <v>193.821</v>
      </c>
      <c r="L16" s="2">
        <v>174.13200000000001</v>
      </c>
      <c r="M16" s="2">
        <v>177.39500000000001</v>
      </c>
      <c r="N16" s="4">
        <f t="shared" si="0"/>
        <v>2139.8480000000004</v>
      </c>
    </row>
    <row r="17" spans="1:4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R17" s="38"/>
      <c r="S17" s="38"/>
      <c r="T17" s="38"/>
      <c r="U17" s="38"/>
      <c r="V17" s="38"/>
      <c r="W17" s="38"/>
      <c r="X17" s="38"/>
      <c r="Y17" s="38"/>
      <c r="AA17" s="38"/>
      <c r="AB17" s="38"/>
      <c r="AC17" s="38"/>
      <c r="AD17" s="38"/>
      <c r="AE17" s="38"/>
      <c r="AU17" s="80" t="str">
        <f>A16</f>
        <v>Gas Refinería</v>
      </c>
      <c r="AV17" s="81">
        <f>HLOOKUP(MAXA(B4:M4),$B$4:$M$49,13,FALSE)</f>
        <v>177.39500000000001</v>
      </c>
      <c r="AW17" s="81"/>
    </row>
    <row r="18" spans="1:49" ht="16.5" customHeight="1" x14ac:dyDescent="0.2">
      <c r="A18" s="9" t="s">
        <v>16</v>
      </c>
      <c r="B18" s="3">
        <v>103.541</v>
      </c>
      <c r="C18" s="2">
        <v>94.614000000000004</v>
      </c>
      <c r="D18" s="2">
        <v>96.242000000000004</v>
      </c>
      <c r="E18" s="2">
        <v>64.98</v>
      </c>
      <c r="F18" s="2">
        <v>88.978999999999999</v>
      </c>
      <c r="G18" s="2">
        <v>81.649000000000001</v>
      </c>
      <c r="H18" s="2">
        <v>70.718999999999994</v>
      </c>
      <c r="I18" s="2">
        <v>93.141000000000005</v>
      </c>
      <c r="J18" s="2">
        <v>88.816999999999993</v>
      </c>
      <c r="K18" s="2">
        <v>95.533000000000001</v>
      </c>
      <c r="L18" s="2">
        <v>98.486000000000004</v>
      </c>
      <c r="M18" s="2">
        <v>102.169</v>
      </c>
      <c r="N18" s="4">
        <f t="shared" si="0"/>
        <v>1078.8699999999999</v>
      </c>
      <c r="AU18" s="80" t="str">
        <f t="shared" ref="AU18:AU50" si="2">A17</f>
        <v>Etano</v>
      </c>
      <c r="AV18" s="81">
        <f>HLOOKUP(MAXA(B4:M4),$B$4:$M$49,14,FALSE)</f>
        <v>0</v>
      </c>
      <c r="AW18" s="81"/>
    </row>
    <row r="19" spans="1:49" ht="16.5" customHeight="1" x14ac:dyDescent="0.2">
      <c r="A19" s="9" t="s">
        <v>17</v>
      </c>
      <c r="B19" s="3">
        <v>24.610000000000014</v>
      </c>
      <c r="C19" s="2">
        <v>0</v>
      </c>
      <c r="D19" s="2">
        <v>0</v>
      </c>
      <c r="E19" s="2">
        <v>0</v>
      </c>
      <c r="F19" s="2">
        <v>39.623000000000005</v>
      </c>
      <c r="G19" s="2">
        <v>10.674999999999997</v>
      </c>
      <c r="H19" s="2">
        <v>19.631</v>
      </c>
      <c r="I19" s="2">
        <v>13.206999999999994</v>
      </c>
      <c r="J19" s="2">
        <v>0</v>
      </c>
      <c r="K19" s="2">
        <v>10.227000000000004</v>
      </c>
      <c r="L19" s="2">
        <v>20.322999999999993</v>
      </c>
      <c r="M19" s="2">
        <v>26.590999999999994</v>
      </c>
      <c r="N19" s="4">
        <f t="shared" si="0"/>
        <v>164.887</v>
      </c>
      <c r="AU19" s="80" t="str">
        <f t="shared" si="2"/>
        <v>Butano</v>
      </c>
      <c r="AV19" s="81">
        <f>HLOOKUP(MAXA(B4:M4),$B$4:$M$49,15,FALSE)</f>
        <v>102.169</v>
      </c>
      <c r="AW19" s="81"/>
    </row>
    <row r="20" spans="1:49" ht="16.5" customHeight="1" x14ac:dyDescent="0.2">
      <c r="A20" s="9" t="s">
        <v>18</v>
      </c>
      <c r="B20" s="3">
        <v>158.80600000000001</v>
      </c>
      <c r="C20" s="2">
        <v>120.563</v>
      </c>
      <c r="D20" s="2">
        <v>132.67400000000001</v>
      </c>
      <c r="E20" s="2">
        <v>136.02799999999999</v>
      </c>
      <c r="F20" s="2">
        <v>137.44300000000001</v>
      </c>
      <c r="G20" s="2">
        <v>125.089</v>
      </c>
      <c r="H20" s="2">
        <v>143.024</v>
      </c>
      <c r="I20" s="2">
        <v>127.961</v>
      </c>
      <c r="J20" s="2">
        <v>117.518</v>
      </c>
      <c r="K20" s="2">
        <v>93.385999999999996</v>
      </c>
      <c r="L20" s="2">
        <v>90.682000000000002</v>
      </c>
      <c r="M20" s="2">
        <v>118.176</v>
      </c>
      <c r="N20" s="4">
        <f t="shared" si="0"/>
        <v>1501.35</v>
      </c>
      <c r="AU20" s="80" t="str">
        <f t="shared" si="2"/>
        <v>Propano</v>
      </c>
      <c r="AV20" s="81">
        <f>HLOOKUP(MAXA(B4:M4),$B$4:$M$49,16,FALSE)</f>
        <v>26.590999999999994</v>
      </c>
      <c r="AW20" s="81"/>
    </row>
    <row r="21" spans="1:4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AU21" s="80" t="str">
        <f t="shared" si="2"/>
        <v>Nafta</v>
      </c>
      <c r="AV21" s="81">
        <f>HLOOKUP(MAXA(B4:M4),$B$4:$M$49,17,FALSE)</f>
        <v>118.176</v>
      </c>
      <c r="AW21" s="81"/>
    </row>
    <row r="22" spans="1:49" ht="16.5" customHeight="1" x14ac:dyDescent="0.2">
      <c r="A22" s="9" t="s">
        <v>20</v>
      </c>
      <c r="B22" s="3">
        <v>84.7</v>
      </c>
      <c r="C22" s="2">
        <v>85.424000000000007</v>
      </c>
      <c r="D22" s="2">
        <v>80.259</v>
      </c>
      <c r="E22" s="2">
        <v>91.846000000000004</v>
      </c>
      <c r="F22" s="2">
        <v>100.376</v>
      </c>
      <c r="G22" s="2">
        <v>91.144000000000005</v>
      </c>
      <c r="H22" s="2">
        <v>86.387</v>
      </c>
      <c r="I22" s="2">
        <v>91.56</v>
      </c>
      <c r="J22" s="2">
        <v>95.596000000000004</v>
      </c>
      <c r="K22" s="2">
        <v>102.232</v>
      </c>
      <c r="L22" s="2">
        <v>86.834999999999994</v>
      </c>
      <c r="M22" s="2">
        <v>101.95399999999999</v>
      </c>
      <c r="N22" s="4">
        <f t="shared" si="0"/>
        <v>1098.3129999999999</v>
      </c>
      <c r="AU22" s="80" t="str">
        <f t="shared" si="2"/>
        <v>Gasolina 97 I.O.</v>
      </c>
      <c r="AV22" s="81">
        <f>HLOOKUP(MAXA(B4:M4),$B$4:$M$49,18,FALSE)</f>
        <v>0</v>
      </c>
      <c r="AW22" s="81"/>
    </row>
    <row r="23" spans="1:49" ht="16.5" customHeight="1" x14ac:dyDescent="0.2">
      <c r="A23" s="9" t="s">
        <v>21</v>
      </c>
      <c r="B23" s="3">
        <v>6.4459999999999997</v>
      </c>
      <c r="C23" s="2">
        <v>6.1920000000000002</v>
      </c>
      <c r="D23" s="2">
        <v>7.1070000000000002</v>
      </c>
      <c r="E23" s="2">
        <v>10.738</v>
      </c>
      <c r="F23" s="2">
        <v>9.3870000000000005</v>
      </c>
      <c r="G23" s="2">
        <v>4.9489999999999998</v>
      </c>
      <c r="H23" s="2">
        <v>14.753</v>
      </c>
      <c r="I23" s="2">
        <v>14.805999999999999</v>
      </c>
      <c r="J23" s="2">
        <v>10.811</v>
      </c>
      <c r="K23" s="2">
        <v>7.9160000000000004</v>
      </c>
      <c r="L23" s="2">
        <v>2.5150000000000001</v>
      </c>
      <c r="M23" s="2">
        <v>12.023</v>
      </c>
      <c r="N23" s="4">
        <f t="shared" si="0"/>
        <v>107.64299999999999</v>
      </c>
      <c r="AU23" s="80" t="str">
        <f t="shared" si="2"/>
        <v>Gasolina 95 I.O.</v>
      </c>
      <c r="AV23" s="81">
        <f>HLOOKUP(MAXA(B4:M4),$B$4:$M$49,19,FALSE)</f>
        <v>101.95399999999999</v>
      </c>
      <c r="AW23" s="81"/>
    </row>
    <row r="24" spans="1:4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AU24" s="80" t="str">
        <f t="shared" si="2"/>
        <v>Gasolina 98 I.O.</v>
      </c>
      <c r="AV24" s="81">
        <f>HLOOKUP(MAXA(B4:M4),$B$4:$M$49,20,FALSE)</f>
        <v>12.023</v>
      </c>
      <c r="AW24" s="81"/>
    </row>
    <row r="25" spans="1:49" ht="16.5" customHeight="1" x14ac:dyDescent="0.2">
      <c r="A25" s="9" t="s">
        <v>23</v>
      </c>
      <c r="B25" s="3">
        <v>697.10399999999993</v>
      </c>
      <c r="C25" s="2">
        <v>638.01099999999997</v>
      </c>
      <c r="D25" s="2">
        <v>702.73799999999994</v>
      </c>
      <c r="E25" s="2">
        <v>634.71799999999985</v>
      </c>
      <c r="F25" s="2">
        <v>577.29599999999994</v>
      </c>
      <c r="G25" s="2">
        <v>602.87</v>
      </c>
      <c r="H25" s="2">
        <v>763.17600000000004</v>
      </c>
      <c r="I25" s="2">
        <v>735.15</v>
      </c>
      <c r="J25" s="2">
        <v>749.22899999999993</v>
      </c>
      <c r="K25" s="2">
        <v>801.25099999999998</v>
      </c>
      <c r="L25" s="2">
        <v>711.66700000000003</v>
      </c>
      <c r="M25" s="2">
        <v>814.35699999999997</v>
      </c>
      <c r="N25" s="4">
        <f t="shared" si="0"/>
        <v>8427.5669999999991</v>
      </c>
      <c r="AU25" s="80" t="str">
        <f t="shared" si="2"/>
        <v>Gasolina de Aviación</v>
      </c>
      <c r="AV25" s="81">
        <f>HLOOKUP(MAXA(B4:M4),$B$4:$M$49,21,FALSE)</f>
        <v>0</v>
      </c>
      <c r="AW25" s="81"/>
    </row>
    <row r="26" spans="1:4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AU26" s="80" t="str">
        <f t="shared" si="2"/>
        <v>Otras Gasolinas</v>
      </c>
      <c r="AV26" s="81">
        <f>HLOOKUP(MAXA(B4:M4),$B$4:$M$49,22,FALSE)</f>
        <v>814.35699999999997</v>
      </c>
      <c r="AW26" s="81"/>
    </row>
    <row r="27" spans="1:4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AU27" s="80" t="str">
        <f t="shared" si="2"/>
        <v>Bioetanol</v>
      </c>
      <c r="AV27" s="81">
        <f>HLOOKUP(MAXA(B4:M4),$B$4:$M$49,23,FALSE)</f>
        <v>0</v>
      </c>
      <c r="AW27" s="81"/>
    </row>
    <row r="28" spans="1:49" ht="16.5" customHeight="1" x14ac:dyDescent="0.2">
      <c r="A28" s="9" t="s">
        <v>26</v>
      </c>
      <c r="B28" s="3">
        <v>31.023</v>
      </c>
      <c r="C28" s="2">
        <v>37.520000000000003</v>
      </c>
      <c r="D28" s="2">
        <v>47.640999999999998</v>
      </c>
      <c r="E28" s="2">
        <v>42.44</v>
      </c>
      <c r="F28" s="2">
        <v>52.503999999999998</v>
      </c>
      <c r="G28" s="2">
        <v>41.771000000000001</v>
      </c>
      <c r="H28" s="2">
        <v>40.868000000000002</v>
      </c>
      <c r="I28" s="2">
        <v>39.442999999999998</v>
      </c>
      <c r="J28" s="2">
        <v>43.014000000000003</v>
      </c>
      <c r="K28" s="2">
        <v>41.174999999999997</v>
      </c>
      <c r="L28" s="2">
        <v>31.084</v>
      </c>
      <c r="M28" s="2">
        <v>37.429000000000002</v>
      </c>
      <c r="N28" s="4">
        <f t="shared" si="0"/>
        <v>485.91200000000003</v>
      </c>
      <c r="AU28" s="80" t="str">
        <f t="shared" si="2"/>
        <v>Gasolinas Mezcla</v>
      </c>
      <c r="AV28" s="81">
        <f>HLOOKUP(MAXA(B4:M4),$B$4:$M$49,24,FALSE)</f>
        <v>0</v>
      </c>
      <c r="AW28" s="81"/>
    </row>
    <row r="29" spans="1:49" ht="15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AU29" s="80" t="str">
        <f>A28</f>
        <v>Queroseno aviac. Jet A1</v>
      </c>
      <c r="AV29" s="81">
        <f>HLOOKUP(MAXA(B4:M4),$B$4:$M$49,25,FALSE)</f>
        <v>37.429000000000002</v>
      </c>
      <c r="AW29" s="81"/>
    </row>
    <row r="30" spans="1:49" ht="12.75" customHeight="1" x14ac:dyDescent="0.2">
      <c r="A30" s="9" t="s">
        <v>28</v>
      </c>
      <c r="B30" s="3">
        <v>801.43600000000004</v>
      </c>
      <c r="C30" s="2">
        <v>678.79300000000001</v>
      </c>
      <c r="D30" s="2">
        <v>805.83</v>
      </c>
      <c r="E30" s="2">
        <v>689.60400000000004</v>
      </c>
      <c r="F30" s="2">
        <v>669.98500000000001</v>
      </c>
      <c r="G30" s="2">
        <v>710.31600000000003</v>
      </c>
      <c r="H30" s="2">
        <v>857.24800000000005</v>
      </c>
      <c r="I30" s="2">
        <v>845.74800000000005</v>
      </c>
      <c r="J30" s="2">
        <v>822.14499999999998</v>
      </c>
      <c r="K30" s="2">
        <v>869.14</v>
      </c>
      <c r="L30" s="2">
        <v>806.61599999999999</v>
      </c>
      <c r="M30" s="2">
        <v>820.97799999999995</v>
      </c>
      <c r="N30" s="4">
        <f t="shared" si="0"/>
        <v>9377.8389999999999</v>
      </c>
      <c r="AU30" s="80" t="str">
        <f t="shared" si="2"/>
        <v>Queroseno aviac. Jet A2</v>
      </c>
      <c r="AV30" s="81">
        <f>HLOOKUP(MAXA(B4:M4),$B$4:$M$49,26,FALSE)</f>
        <v>0</v>
      </c>
      <c r="AW30" s="81"/>
    </row>
    <row r="31" spans="1:4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  <c r="AU31" s="80" t="str">
        <f t="shared" si="2"/>
        <v>Otros Querosenos</v>
      </c>
      <c r="AV31" s="81">
        <f>HLOOKUP(MAXA(B4:M4),$B$4:$M$49,27,FALSE)</f>
        <v>820.97799999999995</v>
      </c>
      <c r="AW31" s="81"/>
    </row>
    <row r="32" spans="1:49" ht="16.5" customHeight="1" x14ac:dyDescent="0.2">
      <c r="A32" s="9" t="s">
        <v>30</v>
      </c>
      <c r="B32" s="3">
        <v>266.14400000000001</v>
      </c>
      <c r="C32" s="2">
        <v>217.99199999999999</v>
      </c>
      <c r="D32" s="2">
        <v>275.00900000000001</v>
      </c>
      <c r="E32" s="2">
        <v>235.851</v>
      </c>
      <c r="F32" s="2">
        <v>261.40499999999997</v>
      </c>
      <c r="G32" s="2">
        <v>250.71600000000001</v>
      </c>
      <c r="H32" s="2">
        <v>238.75399999999999</v>
      </c>
      <c r="I32" s="2">
        <v>272.16199999999998</v>
      </c>
      <c r="J32" s="2">
        <v>273.80799999999999</v>
      </c>
      <c r="K32" s="2">
        <v>264.34500000000003</v>
      </c>
      <c r="L32" s="2">
        <v>274.858</v>
      </c>
      <c r="M32" s="2">
        <v>220.477</v>
      </c>
      <c r="N32" s="4">
        <f t="shared" si="0"/>
        <v>3051.5209999999997</v>
      </c>
      <c r="AU32" s="80" t="str">
        <f t="shared" si="2"/>
        <v>Gasóleo A</v>
      </c>
      <c r="AV32" s="81">
        <f>HLOOKUP(MAXA(B4:M4),$B$4:$M$49,28,FALSE)</f>
        <v>0</v>
      </c>
      <c r="AW32" s="81"/>
    </row>
    <row r="33" spans="1:49" ht="16.5" customHeight="1" x14ac:dyDescent="0.2">
      <c r="A33" s="9" t="s">
        <v>31</v>
      </c>
      <c r="B33" s="3">
        <v>16.056999999999999</v>
      </c>
      <c r="C33" s="2">
        <v>43.819000000000003</v>
      </c>
      <c r="D33" s="2">
        <v>20.041</v>
      </c>
      <c r="E33" s="2">
        <v>34.475999999999999</v>
      </c>
      <c r="F33" s="2">
        <v>13.831</v>
      </c>
      <c r="G33" s="2">
        <v>38.195999999999998</v>
      </c>
      <c r="H33" s="2">
        <v>15.571</v>
      </c>
      <c r="I33" s="2">
        <v>36.04</v>
      </c>
      <c r="J33" s="2">
        <v>26.312000000000001</v>
      </c>
      <c r="K33" s="2">
        <v>36.621000000000002</v>
      </c>
      <c r="L33" s="2">
        <v>16.934000000000001</v>
      </c>
      <c r="M33" s="2">
        <v>41.887999999999998</v>
      </c>
      <c r="N33" s="4">
        <f t="shared" si="0"/>
        <v>339.786</v>
      </c>
      <c r="AU33" s="80" t="str">
        <f t="shared" si="2"/>
        <v>Gasóleo A 10 PPM</v>
      </c>
      <c r="AV33" s="81">
        <f>HLOOKUP(MAXA(B4:M4),$B$4:$M$49,29,FALSE)</f>
        <v>220.477</v>
      </c>
      <c r="AW33" s="81"/>
    </row>
    <row r="34" spans="1:49" ht="16.5" customHeight="1" x14ac:dyDescent="0.2">
      <c r="A34" s="9" t="s">
        <v>32</v>
      </c>
      <c r="B34" s="3">
        <v>11.744999999999999</v>
      </c>
      <c r="C34" s="2">
        <v>10.614000000000001</v>
      </c>
      <c r="D34" s="2">
        <v>11.478999999999999</v>
      </c>
      <c r="E34" s="2">
        <v>8.5120000000000005</v>
      </c>
      <c r="F34" s="2">
        <v>8.3800000000000008</v>
      </c>
      <c r="G34" s="2">
        <v>6.3220000000000001</v>
      </c>
      <c r="H34" s="2">
        <v>5.9189999999999996</v>
      </c>
      <c r="I34" s="2">
        <v>5.0919999999999996</v>
      </c>
      <c r="J34" s="2">
        <v>0</v>
      </c>
      <c r="K34" s="2">
        <v>13.109</v>
      </c>
      <c r="L34" s="2">
        <v>9.6539999999999999</v>
      </c>
      <c r="M34" s="2">
        <v>16.911000000000001</v>
      </c>
      <c r="N34" s="4">
        <f t="shared" si="0"/>
        <v>107.73699999999999</v>
      </c>
      <c r="AU34" s="80" t="str">
        <f t="shared" si="2"/>
        <v>Gasóleo B</v>
      </c>
      <c r="AV34" s="81">
        <f>HLOOKUP(MAXA(B4:M4),$B$4:$M$49,30,FALSE)</f>
        <v>41.887999999999998</v>
      </c>
      <c r="AW34" s="81"/>
    </row>
    <row r="35" spans="1:49" ht="16.5" customHeight="1" x14ac:dyDescent="0.2">
      <c r="A35" s="9" t="s">
        <v>33</v>
      </c>
      <c r="B35" s="3">
        <v>69.126999999999995</v>
      </c>
      <c r="C35" s="2">
        <v>61.704000000000001</v>
      </c>
      <c r="D35" s="2">
        <v>64.162000000000006</v>
      </c>
      <c r="E35" s="2">
        <v>75.817999999999998</v>
      </c>
      <c r="F35" s="2">
        <v>79.024000000000001</v>
      </c>
      <c r="G35" s="2">
        <v>74.072000000000003</v>
      </c>
      <c r="H35" s="2">
        <v>81.67</v>
      </c>
      <c r="I35" s="2">
        <v>82.831000000000003</v>
      </c>
      <c r="J35" s="2">
        <v>89.808999999999997</v>
      </c>
      <c r="K35" s="2">
        <v>77.814999999999998</v>
      </c>
      <c r="L35" s="2">
        <v>76.653999999999996</v>
      </c>
      <c r="M35" s="2">
        <v>82.551000000000002</v>
      </c>
      <c r="N35" s="4">
        <f t="shared" si="0"/>
        <v>915.23699999999997</v>
      </c>
      <c r="AU35" s="80" t="str">
        <f t="shared" si="2"/>
        <v>Gasóleo C</v>
      </c>
      <c r="AV35" s="81">
        <f>HLOOKUP(MAXA(B4:M4),$B$4:$M$49,31,FALSE)</f>
        <v>16.911000000000001</v>
      </c>
      <c r="AW35" s="81"/>
    </row>
    <row r="36" spans="1:49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  <c r="AU36" s="80" t="str">
        <f t="shared" si="2"/>
        <v>Gasóleo para uso marítimo</v>
      </c>
      <c r="AV36" s="81">
        <f>HLOOKUP(MAXA(B4:M4),$B$4:$M$49,32,FALSE)</f>
        <v>82.551000000000002</v>
      </c>
      <c r="AW36" s="81"/>
    </row>
    <row r="37" spans="1:49" ht="16.5" customHeight="1" x14ac:dyDescent="0.2">
      <c r="A37" s="9" t="s">
        <v>35</v>
      </c>
      <c r="B37" s="3">
        <v>1618.24</v>
      </c>
      <c r="C37" s="2">
        <v>1564.271</v>
      </c>
      <c r="D37" s="2">
        <v>1698.4470000000001</v>
      </c>
      <c r="E37" s="2">
        <v>1441.5740000000001</v>
      </c>
      <c r="F37" s="2">
        <v>1561.6469999999999</v>
      </c>
      <c r="G37" s="2">
        <v>1558.5600000000002</v>
      </c>
      <c r="H37" s="2">
        <v>1939.8460000000002</v>
      </c>
      <c r="I37" s="2">
        <v>1853.8840000000002</v>
      </c>
      <c r="J37" s="2">
        <v>1741.4929999999999</v>
      </c>
      <c r="K37" s="2">
        <v>1859.5649999999998</v>
      </c>
      <c r="L37" s="2">
        <v>1721.567</v>
      </c>
      <c r="M37" s="2">
        <v>1950.38</v>
      </c>
      <c r="N37" s="4">
        <f t="shared" si="0"/>
        <v>20509.474000000002</v>
      </c>
      <c r="AU37" s="80" t="str">
        <f t="shared" si="2"/>
        <v>Diésel para uso marítimo</v>
      </c>
      <c r="AV37" s="81">
        <f>HLOOKUP(MAXA(B4:M4),$B$4:$M$49,33,FALSE)</f>
        <v>0</v>
      </c>
      <c r="AW37" s="81"/>
    </row>
    <row r="38" spans="1:49" ht="16.5" customHeight="1" x14ac:dyDescent="0.2">
      <c r="A38" s="9" t="s">
        <v>36</v>
      </c>
      <c r="B38" s="3">
        <v>35.125</v>
      </c>
      <c r="C38" s="2">
        <v>31.614999999999998</v>
      </c>
      <c r="D38" s="2">
        <v>33.893999999999998</v>
      </c>
      <c r="E38" s="2">
        <v>29.126000000000001</v>
      </c>
      <c r="F38" s="2">
        <v>36.539000000000001</v>
      </c>
      <c r="G38" s="2">
        <v>32.463999999999999</v>
      </c>
      <c r="H38" s="2">
        <v>36.701000000000001</v>
      </c>
      <c r="I38" s="2">
        <v>29.849</v>
      </c>
      <c r="J38" s="2">
        <v>12.891999999999999</v>
      </c>
      <c r="K38" s="2">
        <v>29.521999999999998</v>
      </c>
      <c r="L38" s="2">
        <v>33.314999999999998</v>
      </c>
      <c r="M38" s="2">
        <v>37.762</v>
      </c>
      <c r="N38" s="4">
        <f t="shared" si="0"/>
        <v>378.80399999999997</v>
      </c>
      <c r="AU38" s="80" t="str">
        <f t="shared" si="2"/>
        <v>Otros Gasóleos</v>
      </c>
      <c r="AV38" s="81">
        <f>HLOOKUP(MAXA(B4:M4),$B$4:$M$49,34,FALSE)</f>
        <v>1950.38</v>
      </c>
      <c r="AW38" s="81"/>
    </row>
    <row r="39" spans="1:49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  <c r="AU39" s="80" t="str">
        <f t="shared" si="2"/>
        <v>Biodiesel</v>
      </c>
      <c r="AV39" s="81">
        <f>HLOOKUP(MAXA(B4:M4),$B$4:$M$49,35,FALSE)</f>
        <v>37.762</v>
      </c>
      <c r="AW39" s="81"/>
    </row>
    <row r="40" spans="1:49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1.4E-2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1.4E-2</v>
      </c>
      <c r="AU40" s="80" t="str">
        <f t="shared" si="2"/>
        <v>Biodiesel Mezcla</v>
      </c>
      <c r="AV40" s="81">
        <f>HLOOKUP(MAXA(B4:M4),$B$4:$M$49,36,FALSE)</f>
        <v>0</v>
      </c>
      <c r="AW40" s="81"/>
    </row>
    <row r="41" spans="1:49" ht="16.5" customHeight="1" x14ac:dyDescent="0.2">
      <c r="A41" s="9" t="s">
        <v>39</v>
      </c>
      <c r="B41" s="3">
        <v>0</v>
      </c>
      <c r="C41" s="2">
        <v>0.501</v>
      </c>
      <c r="D41" s="2">
        <v>8.0000000000000002E-3</v>
      </c>
      <c r="E41" s="2">
        <v>0.70899999999999996</v>
      </c>
      <c r="F41" s="2">
        <v>7.1999999999999995E-2</v>
      </c>
      <c r="G41" s="2">
        <v>0.80300000000000005</v>
      </c>
      <c r="H41" s="2">
        <v>1.1779999999999999</v>
      </c>
      <c r="I41" s="2">
        <v>7.8E-2</v>
      </c>
      <c r="J41" s="2">
        <v>0.03</v>
      </c>
      <c r="K41" s="2">
        <v>0.06</v>
      </c>
      <c r="L41" s="2">
        <v>0.10299999999999999</v>
      </c>
      <c r="M41" s="2">
        <v>9.2999999999999999E-2</v>
      </c>
      <c r="N41" s="4">
        <f t="shared" si="0"/>
        <v>3.6349999999999998</v>
      </c>
      <c r="AU41" s="80" t="str">
        <f t="shared" si="2"/>
        <v>Fuelóleo BIA</v>
      </c>
      <c r="AV41" s="81">
        <f>HLOOKUP(MAXA(B4:M4),$B$4:$M$49,37,FALSE)</f>
        <v>0</v>
      </c>
      <c r="AW41" s="81"/>
    </row>
    <row r="42" spans="1:49" ht="16.5" customHeight="1" x14ac:dyDescent="0.2">
      <c r="A42" s="9" t="s">
        <v>60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  <c r="AU42" s="80" t="str">
        <f t="shared" si="2"/>
        <v>Fuelóleo de refineria</v>
      </c>
      <c r="AV42" s="81">
        <f>HLOOKUP(MAXA(B4:M4),$B$4:$M$49,38,FALSE)</f>
        <v>9.2999999999999999E-2</v>
      </c>
      <c r="AW42" s="81"/>
    </row>
    <row r="43" spans="1:49" ht="16.5" customHeight="1" x14ac:dyDescent="0.2">
      <c r="A43" s="9" t="s">
        <v>40</v>
      </c>
      <c r="B43" s="3">
        <v>352.94900000000001</v>
      </c>
      <c r="C43" s="2">
        <v>324.98</v>
      </c>
      <c r="D43" s="2">
        <v>220.25399999999999</v>
      </c>
      <c r="E43" s="2">
        <v>289.10199999999998</v>
      </c>
      <c r="F43" s="2">
        <v>324.642</v>
      </c>
      <c r="G43" s="2">
        <v>321.29899999999998</v>
      </c>
      <c r="H43" s="2">
        <v>363.42500000000001</v>
      </c>
      <c r="I43" s="2">
        <v>368.03800000000001</v>
      </c>
      <c r="J43" s="2">
        <v>334.88099999999997</v>
      </c>
      <c r="K43" s="2">
        <v>300.68</v>
      </c>
      <c r="L43" s="2">
        <v>254.22</v>
      </c>
      <c r="M43" s="2">
        <v>365.63099999999997</v>
      </c>
      <c r="N43" s="4">
        <f t="shared" si="0"/>
        <v>3820.1009999999997</v>
      </c>
      <c r="AU43" s="80" t="str">
        <f t="shared" si="2"/>
        <v>Otros combustibles para uso marítimo</v>
      </c>
      <c r="AV43" s="81">
        <f>HLOOKUP(MAXA(B4:M4),$B$4:$M$49,39,FALSE)</f>
        <v>0</v>
      </c>
      <c r="AW43" s="81"/>
    </row>
    <row r="44" spans="1:49" ht="16.5" customHeight="1" x14ac:dyDescent="0.2">
      <c r="A44" s="9" t="s">
        <v>41</v>
      </c>
      <c r="B44" s="3">
        <v>25.298999999999999</v>
      </c>
      <c r="C44" s="2">
        <v>20.347000000000001</v>
      </c>
      <c r="D44" s="2">
        <v>23.401</v>
      </c>
      <c r="E44" s="2">
        <v>18.108000000000001</v>
      </c>
      <c r="F44" s="2">
        <v>19.988</v>
      </c>
      <c r="G44" s="2">
        <v>25.501999999999999</v>
      </c>
      <c r="H44" s="2">
        <v>27.87</v>
      </c>
      <c r="I44" s="2">
        <v>27.532</v>
      </c>
      <c r="J44" s="2">
        <v>24.254000000000001</v>
      </c>
      <c r="K44" s="2">
        <v>25.204999999999998</v>
      </c>
      <c r="L44" s="2">
        <v>24.262</v>
      </c>
      <c r="M44" s="2">
        <v>24.800999999999998</v>
      </c>
      <c r="N44" s="4">
        <f t="shared" si="0"/>
        <v>286.56900000000002</v>
      </c>
      <c r="AU44" s="80" t="str">
        <f>A43</f>
        <v>Otros Fuelóleos</v>
      </c>
      <c r="AV44" s="81">
        <f>HLOOKUP(MAXA(B4:M4),$B$4:$M$49,40,FALSE)</f>
        <v>365.63099999999997</v>
      </c>
      <c r="AW44" s="81"/>
    </row>
    <row r="45" spans="1:49" ht="16.5" customHeight="1" x14ac:dyDescent="0.2">
      <c r="A45" s="9" t="s">
        <v>42</v>
      </c>
      <c r="B45" s="3">
        <v>116.169</v>
      </c>
      <c r="C45" s="2">
        <v>119.849</v>
      </c>
      <c r="D45" s="2">
        <v>101.568</v>
      </c>
      <c r="E45" s="2">
        <v>145.048</v>
      </c>
      <c r="F45" s="2">
        <v>135.35900000000001</v>
      </c>
      <c r="G45" s="2">
        <v>192.416</v>
      </c>
      <c r="H45" s="2">
        <v>164.108</v>
      </c>
      <c r="I45" s="2">
        <v>145.88300000000001</v>
      </c>
      <c r="J45" s="2">
        <v>146.40600000000001</v>
      </c>
      <c r="K45" s="2">
        <v>129.37700000000001</v>
      </c>
      <c r="L45" s="2">
        <v>116.86199999999999</v>
      </c>
      <c r="M45" s="2">
        <v>147.65799999999999</v>
      </c>
      <c r="N45" s="4">
        <f t="shared" si="0"/>
        <v>1660.703</v>
      </c>
      <c r="AU45" s="80" t="str">
        <f t="shared" si="2"/>
        <v>Aceites y bases lubricantes</v>
      </c>
      <c r="AV45" s="81">
        <f>HLOOKUP(MAXA(B4:M4),$B$4:$M$49,41,FALSE)</f>
        <v>24.800999999999998</v>
      </c>
      <c r="AW45" s="81"/>
    </row>
    <row r="46" spans="1:49" ht="16.5" customHeight="1" x14ac:dyDescent="0.2">
      <c r="A46" s="9" t="s">
        <v>43</v>
      </c>
      <c r="B46" s="3">
        <v>10.762</v>
      </c>
      <c r="C46" s="2">
        <v>9.2319999999999993</v>
      </c>
      <c r="D46" s="2">
        <v>11.792999999999999</v>
      </c>
      <c r="E46" s="2">
        <v>7.1879999999999997</v>
      </c>
      <c r="F46" s="2">
        <v>7.89</v>
      </c>
      <c r="G46" s="2">
        <v>10.404999999999999</v>
      </c>
      <c r="H46" s="2">
        <v>10.439</v>
      </c>
      <c r="I46" s="2">
        <v>10.88</v>
      </c>
      <c r="J46" s="2">
        <v>10.452999999999999</v>
      </c>
      <c r="K46" s="2">
        <v>8.6180000000000003</v>
      </c>
      <c r="L46" s="2">
        <v>10.99</v>
      </c>
      <c r="M46" s="2">
        <v>8.3819999999999997</v>
      </c>
      <c r="N46" s="4">
        <f t="shared" si="0"/>
        <v>117.032</v>
      </c>
      <c r="AU46" s="80" t="str">
        <f t="shared" si="2"/>
        <v>Productos asfálticos</v>
      </c>
      <c r="AV46" s="81">
        <f>HLOOKUP(MAXA(B4:M4),$B$4:$M$49,42,FALSE)</f>
        <v>147.65799999999999</v>
      </c>
      <c r="AW46" s="81"/>
    </row>
    <row r="47" spans="1:49" ht="16.5" customHeight="1" x14ac:dyDescent="0.2">
      <c r="A47" s="9" t="s">
        <v>44</v>
      </c>
      <c r="B47" s="3">
        <v>5.4790000000000001</v>
      </c>
      <c r="C47" s="2">
        <v>5.742</v>
      </c>
      <c r="D47" s="2">
        <v>5.3330000000000002</v>
      </c>
      <c r="E47" s="2">
        <v>5.3170000000000002</v>
      </c>
      <c r="F47" s="2">
        <v>5.4550000000000001</v>
      </c>
      <c r="G47" s="2">
        <v>5.69</v>
      </c>
      <c r="H47" s="2">
        <v>6.0919999999999996</v>
      </c>
      <c r="I47" s="2">
        <v>5.407</v>
      </c>
      <c r="J47" s="2">
        <v>6.5490000000000004</v>
      </c>
      <c r="K47" s="2">
        <v>7.3940000000000001</v>
      </c>
      <c r="L47" s="2">
        <v>6.7880000000000003</v>
      </c>
      <c r="M47" s="2">
        <v>4.7439999999999998</v>
      </c>
      <c r="N47" s="4">
        <f t="shared" si="0"/>
        <v>69.989999999999995</v>
      </c>
      <c r="AU47" s="80" t="str">
        <f t="shared" si="2"/>
        <v>Disolventes</v>
      </c>
      <c r="AV47" s="81">
        <f>HLOOKUP(MAXA(B4:M4),$B$4:$M$49,43,FALSE)</f>
        <v>8.3819999999999997</v>
      </c>
      <c r="AW47" s="81"/>
    </row>
    <row r="48" spans="1:49" ht="16.5" customHeight="1" x14ac:dyDescent="0.2">
      <c r="A48" s="9" t="s">
        <v>45</v>
      </c>
      <c r="B48" s="3">
        <v>260.82100000000003</v>
      </c>
      <c r="C48" s="2">
        <v>249.82400000000001</v>
      </c>
      <c r="D48" s="2">
        <v>293.46100000000001</v>
      </c>
      <c r="E48" s="2">
        <v>244.34899999999999</v>
      </c>
      <c r="F48" s="2">
        <v>283.19799999999998</v>
      </c>
      <c r="G48" s="2">
        <v>241.35300000000001</v>
      </c>
      <c r="H48" s="2">
        <v>296.88900000000001</v>
      </c>
      <c r="I48" s="2">
        <v>290.74799999999999</v>
      </c>
      <c r="J48" s="2">
        <v>271.62099999999998</v>
      </c>
      <c r="K48" s="2">
        <v>294.06200000000001</v>
      </c>
      <c r="L48" s="2">
        <v>284.005</v>
      </c>
      <c r="M48" s="2">
        <v>295.5</v>
      </c>
      <c r="N48" s="4">
        <f t="shared" si="0"/>
        <v>3305.8310000000001</v>
      </c>
      <c r="AU48" s="80" t="str">
        <f t="shared" si="2"/>
        <v>Parafinas</v>
      </c>
      <c r="AV48" s="81">
        <f>HLOOKUP(MAXA(B4:M4),$B$4:$M$49,44,FALSE)</f>
        <v>4.7439999999999998</v>
      </c>
      <c r="AW48" s="81"/>
    </row>
    <row r="49" spans="1:49" ht="18" customHeight="1" x14ac:dyDescent="0.2">
      <c r="A49" s="10" t="s">
        <v>52</v>
      </c>
      <c r="B49" s="7">
        <v>280.78899999999999</v>
      </c>
      <c r="C49" s="5">
        <v>186.69300000000001</v>
      </c>
      <c r="D49" s="5">
        <v>255.16199999999935</v>
      </c>
      <c r="E49" s="5">
        <v>144.23399999999947</v>
      </c>
      <c r="F49" s="5">
        <v>172.23499999999876</v>
      </c>
      <c r="G49" s="5">
        <v>195.20500000000001</v>
      </c>
      <c r="H49" s="5">
        <v>222.25700000000001</v>
      </c>
      <c r="I49" s="5">
        <v>169.25999999999931</v>
      </c>
      <c r="J49" s="5">
        <v>189.92800000000003</v>
      </c>
      <c r="K49" s="5">
        <v>193.96799999999894</v>
      </c>
      <c r="L49" s="5">
        <v>272.54800000000159</v>
      </c>
      <c r="M49" s="5">
        <v>164.14500000000004</v>
      </c>
      <c r="N49" s="6">
        <f t="shared" si="0"/>
        <v>2446.4239999999977</v>
      </c>
      <c r="AU49" s="80" t="str">
        <f t="shared" si="2"/>
        <v>Coque de petróleo</v>
      </c>
      <c r="AV49" s="81">
        <f>HLOOKUP(MAXA(B4:M4),$B$4:$M$49,45,FALSE)</f>
        <v>295.5</v>
      </c>
      <c r="AW49" s="81"/>
    </row>
    <row r="50" spans="1:49" x14ac:dyDescent="0.2">
      <c r="F50" s="41"/>
      <c r="N50" s="30"/>
      <c r="AU50" s="80" t="str">
        <f t="shared" si="2"/>
        <v>Otros Productos</v>
      </c>
      <c r="AV50" s="81">
        <f>HLOOKUP(MAXA(B4:M4),$B$4:$M$49,46,FALSE)</f>
        <v>164.14500000000004</v>
      </c>
      <c r="AW50" s="81"/>
    </row>
    <row r="51" spans="1:49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49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49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</row>
    <row r="54" spans="1:49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49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49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49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49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49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49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49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49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49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  <c r="AR63" s="72"/>
    </row>
    <row r="64" spans="1:49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ht="3.75" customHeight="1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ht="11.25" customHeight="1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ht="9" customHeight="1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20C1A-4E33-47CB-BABF-986E20807464}">
  <sheetPr>
    <pageSetUpPr fitToPage="1"/>
  </sheetPr>
  <dimension ref="A1:BI250"/>
  <sheetViews>
    <sheetView showGridLines="0" zoomScale="85" zoomScaleNormal="85" workbookViewId="0">
      <selection activeCell="AO23" sqref="AO23"/>
    </sheetView>
  </sheetViews>
  <sheetFormatPr baseColWidth="10" defaultColWidth="11.5" defaultRowHeight="14.25" x14ac:dyDescent="0.2"/>
  <cols>
    <col min="1" max="1" width="66.5" customWidth="1"/>
    <col min="7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  <col min="27" max="27" width="14.25" customWidth="1"/>
    <col min="43" max="43" width="10.125" customWidth="1"/>
    <col min="45" max="45" width="11.5" style="1"/>
    <col min="46" max="46" width="11.5" style="72" customWidth="1"/>
    <col min="47" max="47" width="36.75" style="72" customWidth="1"/>
    <col min="48" max="48" width="12.625" style="72" customWidth="1"/>
    <col min="49" max="49" width="11.5" style="72" customWidth="1"/>
    <col min="50" max="50" width="11.5" style="1"/>
    <col min="51" max="51" width="11.5" style="72"/>
    <col min="52" max="61" width="11.5" style="1"/>
  </cols>
  <sheetData>
    <row r="1" spans="1:61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Q1" s="53" t="str">
        <f>"MOVIMIENTO DE CRUDOS Y OBTENCIÓN DE PRODUCTOS PETROLÍFEROS - " &amp;AV3</f>
        <v>MOVIMIENTO DE CRUDOS Y OBTENCIÓN DE PRODUCTOS PETROLÍFEROS - MAYO 2026</v>
      </c>
      <c r="AE1" s="53" t="s">
        <v>66</v>
      </c>
    </row>
    <row r="2" spans="1:61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  <c r="AS2" s="72"/>
      <c r="AX2" s="72"/>
    </row>
    <row r="3" spans="1:61" x14ac:dyDescent="0.2">
      <c r="AS3" s="72"/>
      <c r="AV3" s="73" t="str">
        <f>UPPER(TEXT(MAXA(B4:M4),"mmmm aaaa"))</f>
        <v>MAYO 2026</v>
      </c>
      <c r="AX3" s="72"/>
    </row>
    <row r="4" spans="1:61" s="16" customFormat="1" ht="21" customHeight="1" x14ac:dyDescent="0.2">
      <c r="A4" s="11" t="s">
        <v>13</v>
      </c>
      <c r="B4" s="12">
        <v>46023</v>
      </c>
      <c r="C4" s="13">
        <v>46054</v>
      </c>
      <c r="D4" s="13">
        <v>46082</v>
      </c>
      <c r="E4" s="13">
        <v>46113</v>
      </c>
      <c r="F4" s="13">
        <v>46143</v>
      </c>
      <c r="G4" s="13"/>
      <c r="H4" s="13"/>
      <c r="I4" s="14"/>
      <c r="J4" s="14"/>
      <c r="K4" s="14"/>
      <c r="L4" s="13"/>
      <c r="M4" s="13"/>
      <c r="N4" s="15" t="s">
        <v>65</v>
      </c>
      <c r="Q4" s="54"/>
      <c r="R4" s="54"/>
      <c r="S4" s="54"/>
      <c r="T4" s="54"/>
      <c r="U4" s="54"/>
      <c r="V4" s="54"/>
      <c r="W4" s="54"/>
      <c r="X4" s="54"/>
      <c r="Y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S4" s="74"/>
      <c r="AT4" s="74"/>
      <c r="AU4" s="74"/>
      <c r="AV4" s="74"/>
      <c r="AW4" s="74"/>
      <c r="AX4" s="74"/>
      <c r="AY4" s="74"/>
      <c r="AZ4" s="83"/>
      <c r="BA4" s="83"/>
      <c r="BB4" s="83"/>
      <c r="BC4" s="83"/>
      <c r="BD4" s="83"/>
      <c r="BE4" s="83"/>
      <c r="BF4" s="83"/>
      <c r="BG4" s="83"/>
      <c r="BH4" s="83"/>
      <c r="BI4" s="83"/>
    </row>
    <row r="5" spans="1:61" s="21" customFormat="1" ht="21" customHeight="1" x14ac:dyDescent="0.2">
      <c r="A5" s="17" t="s">
        <v>0</v>
      </c>
      <c r="B5" s="18">
        <v>0.154</v>
      </c>
      <c r="C5" s="19">
        <v>6.2E-2</v>
      </c>
      <c r="D5" s="19">
        <v>8.4000000000000005E-2</v>
      </c>
      <c r="E5" s="19">
        <v>3.3000000000000002E-2</v>
      </c>
      <c r="F5" s="19">
        <v>0.11600000000000001</v>
      </c>
      <c r="G5" s="19"/>
      <c r="H5" s="19"/>
      <c r="I5" s="45"/>
      <c r="J5" s="19"/>
      <c r="K5" s="19"/>
      <c r="L5" s="19"/>
      <c r="M5" s="19"/>
      <c r="N5" s="20">
        <f>SUM(B5:M5)</f>
        <v>0.44899999999999995</v>
      </c>
      <c r="P5" s="34"/>
      <c r="Q5" s="34"/>
      <c r="R5" s="47"/>
      <c r="AS5" s="75"/>
      <c r="AT5" s="75"/>
      <c r="AU5" s="75"/>
      <c r="AV5" s="75"/>
      <c r="AW5" s="75"/>
      <c r="AX5" s="75"/>
      <c r="AY5" s="75"/>
      <c r="AZ5" s="32"/>
      <c r="BA5" s="32"/>
      <c r="BB5" s="32"/>
      <c r="BC5" s="32"/>
      <c r="BD5" s="32"/>
      <c r="BE5" s="32"/>
      <c r="BF5" s="32"/>
      <c r="BG5" s="32"/>
      <c r="BH5" s="32"/>
      <c r="BI5" s="32"/>
    </row>
    <row r="6" spans="1:61" s="21" customFormat="1" ht="21" customHeight="1" x14ac:dyDescent="0.2">
      <c r="A6" s="22" t="s">
        <v>1</v>
      </c>
      <c r="B6" s="23">
        <v>5061.4049999999997</v>
      </c>
      <c r="C6" s="24">
        <v>4429.7619999999997</v>
      </c>
      <c r="D6" s="24">
        <v>4578.1930000000002</v>
      </c>
      <c r="E6" s="24">
        <v>5556.0010000000002</v>
      </c>
      <c r="F6" s="24">
        <v>5182.4089999999997</v>
      </c>
      <c r="G6" s="24"/>
      <c r="H6" s="24"/>
      <c r="I6" s="24"/>
      <c r="J6" s="24"/>
      <c r="K6" s="24"/>
      <c r="L6" s="24"/>
      <c r="M6" s="24"/>
      <c r="N6" s="25">
        <f>SUM(B6:M6)</f>
        <v>24807.77</v>
      </c>
      <c r="P6" s="34"/>
      <c r="Q6" s="34"/>
      <c r="R6" s="47"/>
      <c r="AS6" s="75"/>
      <c r="AT6" s="75"/>
      <c r="AU6" s="76" t="str">
        <f>A6</f>
        <v>IMPORTACIONES DE CRUDO</v>
      </c>
      <c r="AV6" s="77">
        <f>HLOOKUP(MAXA(B4:M4),$B$4:$M$6,3,FALSE)</f>
        <v>5182.4089999999997</v>
      </c>
      <c r="AW6" s="75"/>
      <c r="AX6" s="75"/>
      <c r="AY6" s="75"/>
      <c r="AZ6" s="32"/>
      <c r="BA6" s="32"/>
      <c r="BB6" s="32"/>
      <c r="BC6" s="32"/>
      <c r="BD6" s="32"/>
      <c r="BE6" s="32"/>
      <c r="BF6" s="32"/>
      <c r="BG6" s="32"/>
      <c r="BH6" s="32"/>
      <c r="BI6" s="32"/>
    </row>
    <row r="7" spans="1:61" s="21" customFormat="1" ht="21" customHeight="1" x14ac:dyDescent="0.2">
      <c r="A7" s="26" t="s">
        <v>2</v>
      </c>
      <c r="B7" s="27">
        <v>144.42100000000028</v>
      </c>
      <c r="C7" s="28">
        <v>235.07099999999991</v>
      </c>
      <c r="D7" s="28">
        <v>129.87299999999959</v>
      </c>
      <c r="E7" s="28">
        <v>97.498999999999796</v>
      </c>
      <c r="F7" s="28">
        <v>249.90700000000015</v>
      </c>
      <c r="G7" s="28"/>
      <c r="H7" s="28"/>
      <c r="I7" s="28"/>
      <c r="J7" s="28"/>
      <c r="K7" s="28"/>
      <c r="L7" s="28"/>
      <c r="M7" s="28"/>
      <c r="N7" s="29">
        <f t="shared" ref="N7:N49" si="0">SUM(B7:M7)</f>
        <v>856.77099999999973</v>
      </c>
      <c r="P7" s="34"/>
      <c r="Q7" s="34"/>
      <c r="R7" s="47"/>
      <c r="AS7" s="75"/>
      <c r="AT7" s="75"/>
      <c r="AU7" s="76" t="str">
        <f>A12</f>
        <v>TOTAL PROCESADO</v>
      </c>
      <c r="AV7" s="77">
        <f>HLOOKUP(MAXA(B4:M4),$B$4:$M$12,9,FALSE)</f>
        <v>5125.7539999999999</v>
      </c>
      <c r="AW7" s="75"/>
      <c r="AX7" s="75"/>
      <c r="AY7" s="75"/>
      <c r="AZ7" s="32"/>
      <c r="BA7" s="32"/>
      <c r="BB7" s="32"/>
      <c r="BC7" s="32"/>
      <c r="BD7" s="32"/>
      <c r="BE7" s="32"/>
      <c r="BF7" s="32"/>
      <c r="BG7" s="32"/>
      <c r="BH7" s="32"/>
      <c r="BI7" s="32"/>
    </row>
    <row r="8" spans="1:61" s="21" customFormat="1" ht="21" customHeight="1" x14ac:dyDescent="0.2">
      <c r="A8" s="26" t="s">
        <v>3</v>
      </c>
      <c r="B8" s="27">
        <v>255.80799999999999</v>
      </c>
      <c r="C8" s="28">
        <v>272.46699999999998</v>
      </c>
      <c r="D8" s="28">
        <v>-596.23500000000001</v>
      </c>
      <c r="E8" s="28">
        <v>521.14700000000005</v>
      </c>
      <c r="F8" s="28">
        <v>410.41699999999997</v>
      </c>
      <c r="G8" s="28"/>
      <c r="H8" s="28"/>
      <c r="I8" s="28"/>
      <c r="J8" s="28"/>
      <c r="K8" s="28"/>
      <c r="L8" s="28"/>
      <c r="M8" s="28"/>
      <c r="N8" s="29">
        <f t="shared" si="0"/>
        <v>863.60400000000004</v>
      </c>
      <c r="P8" s="34"/>
      <c r="Q8" s="34"/>
      <c r="R8" s="47"/>
      <c r="AS8" s="75"/>
      <c r="AT8" s="75"/>
      <c r="AU8" s="76" t="str">
        <f>A15</f>
        <v>PRODUCCION BRUTA DE REFINERIA</v>
      </c>
      <c r="AV8" s="77">
        <f>HLOOKUP(MAXA(B4:M4),$B$4:$M$15,12,FALSE)</f>
        <v>5110.1320000000005</v>
      </c>
      <c r="AW8" s="75"/>
      <c r="AX8" s="75"/>
      <c r="AY8" s="75"/>
      <c r="AZ8" s="32"/>
      <c r="BA8" s="32"/>
      <c r="BB8" s="32"/>
      <c r="BC8" s="32"/>
      <c r="BD8" s="32"/>
      <c r="BE8" s="32"/>
      <c r="BF8" s="32"/>
      <c r="BG8" s="32"/>
      <c r="BH8" s="32"/>
      <c r="BI8" s="32"/>
    </row>
    <row r="9" spans="1:61" s="21" customFormat="1" ht="21" customHeight="1" x14ac:dyDescent="0.2">
      <c r="A9" s="26" t="s">
        <v>4</v>
      </c>
      <c r="B9" s="27">
        <v>73.934000000000026</v>
      </c>
      <c r="C9" s="28">
        <v>206.99200000000002</v>
      </c>
      <c r="D9" s="28">
        <v>3.9110000000000582</v>
      </c>
      <c r="E9" s="28">
        <v>-63.126000000000033</v>
      </c>
      <c r="F9" s="28">
        <v>-7.4039999999999964</v>
      </c>
      <c r="G9" s="28"/>
      <c r="H9" s="28"/>
      <c r="I9" s="28"/>
      <c r="J9" s="28"/>
      <c r="K9" s="28"/>
      <c r="L9" s="28"/>
      <c r="M9" s="28"/>
      <c r="N9" s="29">
        <f t="shared" si="0"/>
        <v>214.30700000000007</v>
      </c>
      <c r="P9" s="34"/>
      <c r="Q9" s="34"/>
      <c r="R9" s="47"/>
      <c r="AS9" s="75"/>
      <c r="AT9" s="75"/>
      <c r="AU9" s="75"/>
      <c r="AV9" s="77"/>
      <c r="AW9" s="75"/>
      <c r="AX9" s="75"/>
      <c r="AY9" s="75"/>
      <c r="AZ9" s="32"/>
      <c r="BA9" s="32"/>
      <c r="BB9" s="32"/>
      <c r="BC9" s="32"/>
      <c r="BD9" s="32"/>
      <c r="BE9" s="32"/>
      <c r="BF9" s="32"/>
      <c r="BG9" s="32"/>
      <c r="BH9" s="32"/>
      <c r="BI9" s="32"/>
    </row>
    <row r="10" spans="1:61" s="21" customFormat="1" ht="21" customHeight="1" x14ac:dyDescent="0.2">
      <c r="A10" s="26" t="s">
        <v>5</v>
      </c>
      <c r="B10" s="27">
        <v>115.917</v>
      </c>
      <c r="C10" s="28">
        <v>54.326999999999998</v>
      </c>
      <c r="D10" s="28">
        <v>89.256</v>
      </c>
      <c r="E10" s="28">
        <v>159.702</v>
      </c>
      <c r="F10" s="28">
        <v>96.335000000000008</v>
      </c>
      <c r="G10" s="28"/>
      <c r="H10" s="28"/>
      <c r="I10" s="28"/>
      <c r="J10" s="28"/>
      <c r="K10" s="28"/>
      <c r="L10" s="28"/>
      <c r="M10" s="28"/>
      <c r="N10" s="29">
        <f t="shared" si="0"/>
        <v>515.53700000000003</v>
      </c>
      <c r="P10" s="34"/>
      <c r="Q10" s="34"/>
      <c r="R10" s="47"/>
      <c r="AS10" s="75"/>
      <c r="AT10" s="75"/>
      <c r="AU10" s="75"/>
      <c r="AV10" s="77"/>
      <c r="AW10" s="75"/>
      <c r="AX10" s="75"/>
      <c r="AY10" s="75"/>
      <c r="AZ10" s="32"/>
      <c r="BA10" s="32"/>
      <c r="BB10" s="32"/>
      <c r="BC10" s="32"/>
      <c r="BD10" s="32"/>
      <c r="BE10" s="32"/>
      <c r="BF10" s="32"/>
      <c r="BG10" s="32"/>
      <c r="BH10" s="32"/>
      <c r="BI10" s="32"/>
    </row>
    <row r="11" spans="1:61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/>
      <c r="H11" s="28"/>
      <c r="I11" s="28"/>
      <c r="J11" s="28"/>
      <c r="K11" s="28"/>
      <c r="L11" s="28"/>
      <c r="M11" s="28"/>
      <c r="N11" s="29">
        <f t="shared" si="0"/>
        <v>0</v>
      </c>
      <c r="P11" s="35"/>
      <c r="Q11" s="55"/>
      <c r="R11" s="47"/>
      <c r="AS11" s="75"/>
      <c r="AT11" s="75"/>
      <c r="AU11" s="76" t="str">
        <f>A7</f>
        <v>IMPORTACIONES DE PROD. INTERMEDIOS Y MAT. AUXILIARES</v>
      </c>
      <c r="AV11" s="77">
        <f>HLOOKUP(MAXA(B4:M4),$B$4:$M$15,4,FALSE)</f>
        <v>249.90700000000015</v>
      </c>
      <c r="AW11" s="75"/>
      <c r="AX11" s="75"/>
      <c r="AY11" s="75"/>
      <c r="AZ11" s="32"/>
      <c r="BA11" s="32"/>
      <c r="BB11" s="32"/>
      <c r="BC11" s="32"/>
      <c r="BD11" s="32"/>
      <c r="BE11" s="32"/>
      <c r="BF11" s="32"/>
      <c r="BG11" s="32"/>
      <c r="BH11" s="32"/>
      <c r="BI11" s="32"/>
    </row>
    <row r="12" spans="1:61" s="31" customFormat="1" ht="21" customHeight="1" x14ac:dyDescent="0.2">
      <c r="A12" s="22" t="s">
        <v>7</v>
      </c>
      <c r="B12" s="24">
        <v>4992.1550000000007</v>
      </c>
      <c r="C12" s="24">
        <v>4239.7629999999999</v>
      </c>
      <c r="D12" s="24">
        <v>5389.73</v>
      </c>
      <c r="E12" s="24">
        <v>5355.2140000000009</v>
      </c>
      <c r="F12" s="24">
        <v>5125.7539999999999</v>
      </c>
      <c r="G12" s="24"/>
      <c r="H12" s="24"/>
      <c r="I12" s="24"/>
      <c r="J12" s="24"/>
      <c r="K12" s="24"/>
      <c r="L12" s="24"/>
      <c r="M12" s="24"/>
      <c r="N12" s="25">
        <f>SUM(B12:M12)</f>
        <v>25102.616000000002</v>
      </c>
      <c r="P12" s="34"/>
      <c r="Q12" s="34"/>
      <c r="R12" s="47"/>
      <c r="S12" s="56"/>
      <c r="T12" s="56"/>
      <c r="U12" s="56"/>
      <c r="V12" s="56"/>
      <c r="W12" s="56"/>
      <c r="X12" s="56"/>
      <c r="Y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S12" s="78"/>
      <c r="AT12" s="78"/>
      <c r="AU12" s="76" t="str">
        <f>A8</f>
        <v>VARIACION DE STOCKS DE CRUDOS (Ef-Ei)</v>
      </c>
      <c r="AV12" s="79">
        <f>HLOOKUP(MAXA(B4:M4),$B$4:$M$15,5,FALSE)</f>
        <v>410.41699999999997</v>
      </c>
      <c r="AW12" s="78"/>
      <c r="AX12" s="78"/>
      <c r="AY12" s="78"/>
      <c r="AZ12" s="86"/>
      <c r="BA12" s="86"/>
      <c r="BB12" s="86"/>
      <c r="BC12" s="86"/>
      <c r="BD12" s="86"/>
      <c r="BE12" s="86"/>
      <c r="BF12" s="86"/>
      <c r="BG12" s="86"/>
      <c r="BH12" s="86"/>
      <c r="BI12" s="86"/>
    </row>
    <row r="13" spans="1:61" s="21" customFormat="1" ht="21" customHeight="1" x14ac:dyDescent="0.2">
      <c r="A13" s="26" t="s">
        <v>12</v>
      </c>
      <c r="B13" s="27">
        <v>4805.7510000000002</v>
      </c>
      <c r="C13" s="28">
        <v>4157.357</v>
      </c>
      <c r="D13" s="28">
        <v>5174.5119999999997</v>
      </c>
      <c r="E13" s="28">
        <v>5034.8869999999997</v>
      </c>
      <c r="F13" s="28">
        <v>4772.1080000000002</v>
      </c>
      <c r="G13" s="28"/>
      <c r="H13" s="28"/>
      <c r="I13" s="28"/>
      <c r="J13" s="28"/>
      <c r="K13" s="28"/>
      <c r="L13" s="28"/>
      <c r="M13" s="28"/>
      <c r="N13" s="29">
        <f t="shared" si="0"/>
        <v>23944.614999999998</v>
      </c>
      <c r="P13" s="34"/>
      <c r="Q13" s="34"/>
      <c r="R13" s="47"/>
      <c r="AS13" s="75"/>
      <c r="AT13" s="75"/>
      <c r="AU13" s="76" t="str">
        <f>A9</f>
        <v>APROVISIONAMIENTO DE PROD. INTERMEDIOS Y MAT. AUXILIARES</v>
      </c>
      <c r="AV13" s="77">
        <f>HLOOKUP(MAXA(B4:M4),$B$4:$M$15,6,FALSE)</f>
        <v>-7.4039999999999964</v>
      </c>
      <c r="AW13" s="75"/>
      <c r="AX13" s="75"/>
      <c r="AY13" s="75"/>
      <c r="AZ13" s="32"/>
      <c r="BA13" s="32"/>
      <c r="BB13" s="32"/>
      <c r="BC13" s="32"/>
      <c r="BD13" s="32"/>
      <c r="BE13" s="32"/>
      <c r="BF13" s="32"/>
      <c r="BG13" s="32"/>
      <c r="BH13" s="32"/>
      <c r="BI13" s="32"/>
    </row>
    <row r="14" spans="1:61" s="21" customFormat="1" ht="21" customHeight="1" x14ac:dyDescent="0.2">
      <c r="A14" s="26" t="s">
        <v>8</v>
      </c>
      <c r="B14" s="27">
        <v>22.915000000000873</v>
      </c>
      <c r="C14" s="28">
        <v>27.311999999999898</v>
      </c>
      <c r="D14" s="28">
        <v>58.429999999999382</v>
      </c>
      <c r="E14" s="28">
        <v>33.497000000001208</v>
      </c>
      <c r="F14" s="28">
        <v>15.621999999999389</v>
      </c>
      <c r="G14" s="28"/>
      <c r="H14" s="28"/>
      <c r="I14" s="46"/>
      <c r="J14" s="28"/>
      <c r="K14" s="28"/>
      <c r="L14" s="28"/>
      <c r="M14" s="28"/>
      <c r="N14" s="29">
        <f t="shared" si="0"/>
        <v>157.77600000000075</v>
      </c>
      <c r="P14" s="36"/>
      <c r="Q14" s="34"/>
      <c r="R14" s="47"/>
      <c r="S14" s="42"/>
      <c r="T14" s="42"/>
      <c r="U14" s="42"/>
      <c r="V14" s="42"/>
      <c r="W14" s="42"/>
      <c r="X14" s="42"/>
      <c r="Y14" s="42"/>
      <c r="AA14" s="42"/>
      <c r="AB14" s="42"/>
      <c r="AC14" s="42"/>
      <c r="AD14" s="42"/>
      <c r="AS14" s="75"/>
      <c r="AT14" s="75"/>
      <c r="AU14" s="76" t="str">
        <f>A10</f>
        <v>PRODUCTOS TRASPASADOS Y BACKFLOWS</v>
      </c>
      <c r="AV14" s="77">
        <f>HLOOKUP(MAXA(B4:M4),$B$4:$M$15,7,FALSE)</f>
        <v>96.335000000000008</v>
      </c>
      <c r="AW14" s="75"/>
      <c r="AX14" s="75"/>
      <c r="AY14" s="75"/>
      <c r="AZ14" s="32"/>
      <c r="BA14" s="32"/>
      <c r="BB14" s="32"/>
      <c r="BC14" s="32"/>
      <c r="BD14" s="32"/>
      <c r="BE14" s="32"/>
      <c r="BF14" s="32"/>
      <c r="BG14" s="32"/>
      <c r="BH14" s="32"/>
      <c r="BI14" s="32"/>
    </row>
    <row r="15" spans="1:61" s="32" customFormat="1" ht="21" customHeight="1" x14ac:dyDescent="0.2">
      <c r="A15" s="22" t="s">
        <v>9</v>
      </c>
      <c r="B15" s="24">
        <f>SUM(B16:B49)</f>
        <v>4969.24</v>
      </c>
      <c r="C15" s="24">
        <f>SUM(C16:C49)</f>
        <v>4212.451</v>
      </c>
      <c r="D15" s="24">
        <f>SUM(D16:D49)</f>
        <v>5331.3</v>
      </c>
      <c r="E15" s="24">
        <f>SUM(E16:E49)</f>
        <v>5321.7169999999996</v>
      </c>
      <c r="F15" s="24">
        <f>SUM(F16:F49)</f>
        <v>5110.1320000000005</v>
      </c>
      <c r="G15" s="24"/>
      <c r="H15" s="24"/>
      <c r="I15" s="24"/>
      <c r="J15" s="24"/>
      <c r="K15" s="24"/>
      <c r="L15" s="24"/>
      <c r="M15" s="24"/>
      <c r="N15" s="25">
        <f t="shared" si="0"/>
        <v>24944.84</v>
      </c>
      <c r="Q15" s="21"/>
      <c r="R15" s="42"/>
      <c r="S15" s="42"/>
      <c r="T15" s="42"/>
      <c r="U15" s="42"/>
      <c r="V15" s="42"/>
      <c r="W15" s="42"/>
      <c r="X15" s="42"/>
      <c r="Y15" s="42"/>
      <c r="AA15" s="42"/>
      <c r="AB15" s="42"/>
      <c r="AC15" s="42"/>
      <c r="AD15" s="42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S15" s="75"/>
      <c r="AT15" s="75"/>
      <c r="AU15" s="76" t="str">
        <f>A11</f>
        <v>CONSUMO DIRECTO DE CRUDO</v>
      </c>
      <c r="AV15" s="77">
        <f>HLOOKUP(MAXA(B4:M4),$B$4:$M$15,8,FALSE)</f>
        <v>0</v>
      </c>
      <c r="AW15" s="75"/>
      <c r="AX15" s="75"/>
      <c r="AY15" s="75"/>
    </row>
    <row r="16" spans="1:61" ht="16.5" customHeight="1" x14ac:dyDescent="0.2">
      <c r="A16" s="9" t="s">
        <v>14</v>
      </c>
      <c r="B16" s="3">
        <v>158.989</v>
      </c>
      <c r="C16" s="2">
        <v>131.47499999999999</v>
      </c>
      <c r="D16" s="2">
        <v>166.81700000000001</v>
      </c>
      <c r="E16" s="2">
        <v>176.018</v>
      </c>
      <c r="F16" s="2">
        <v>183.96</v>
      </c>
      <c r="G16" s="2"/>
      <c r="H16" s="2"/>
      <c r="I16" s="2"/>
      <c r="J16" s="2"/>
      <c r="K16" s="2"/>
      <c r="L16" s="2"/>
      <c r="M16" s="2"/>
      <c r="N16" s="4">
        <f t="shared" si="0"/>
        <v>817.25900000000001</v>
      </c>
      <c r="AS16" s="72"/>
      <c r="AX16" s="72"/>
    </row>
    <row r="17" spans="1:50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/>
      <c r="H17" s="2"/>
      <c r="I17" s="2"/>
      <c r="J17" s="2"/>
      <c r="K17" s="2"/>
      <c r="L17" s="2"/>
      <c r="M17" s="2"/>
      <c r="N17" s="4">
        <f t="shared" si="0"/>
        <v>0</v>
      </c>
      <c r="R17" s="38"/>
      <c r="S17" s="38"/>
      <c r="T17" s="38"/>
      <c r="U17" s="38"/>
      <c r="V17" s="38"/>
      <c r="W17" s="38"/>
      <c r="X17" s="38"/>
      <c r="Y17" s="38"/>
      <c r="AA17" s="38"/>
      <c r="AB17" s="38"/>
      <c r="AC17" s="38"/>
      <c r="AD17" s="38"/>
      <c r="AE17" s="38"/>
      <c r="AS17" s="72"/>
      <c r="AU17" s="80" t="str">
        <f>A16</f>
        <v>Gas Refinería</v>
      </c>
      <c r="AV17" s="81">
        <f>HLOOKUP(MAXA(B4:M4),$B$4:$M$49,13,FALSE)</f>
        <v>183.96</v>
      </c>
      <c r="AW17" s="81"/>
      <c r="AX17" s="72"/>
    </row>
    <row r="18" spans="1:50" ht="16.5" customHeight="1" x14ac:dyDescent="0.2">
      <c r="A18" s="9" t="s">
        <v>16</v>
      </c>
      <c r="B18" s="3">
        <v>94.637</v>
      </c>
      <c r="C18" s="2">
        <v>80.171999999999997</v>
      </c>
      <c r="D18" s="2">
        <v>106.509</v>
      </c>
      <c r="E18" s="2">
        <v>116.39400000000001</v>
      </c>
      <c r="F18" s="2">
        <v>97.680999999999997</v>
      </c>
      <c r="G18" s="2"/>
      <c r="H18" s="2"/>
      <c r="I18" s="2"/>
      <c r="J18" s="2"/>
      <c r="K18" s="2"/>
      <c r="L18" s="2"/>
      <c r="M18" s="2"/>
      <c r="N18" s="4">
        <f t="shared" si="0"/>
        <v>495.39299999999997</v>
      </c>
      <c r="AS18" s="72"/>
      <c r="AU18" s="80" t="str">
        <f t="shared" ref="AU18:AU50" si="1">A17</f>
        <v>Etano</v>
      </c>
      <c r="AV18" s="81">
        <f>HLOOKUP(MAXA(B4:M4),$B$4:$M$49,14,FALSE)</f>
        <v>0</v>
      </c>
      <c r="AW18" s="81"/>
      <c r="AX18" s="72"/>
    </row>
    <row r="19" spans="1:50" ht="16.5" customHeight="1" x14ac:dyDescent="0.2">
      <c r="A19" s="9" t="s">
        <v>17</v>
      </c>
      <c r="B19" s="3">
        <v>26.518000000000001</v>
      </c>
      <c r="C19" s="2">
        <v>39.024000000000001</v>
      </c>
      <c r="D19" s="2">
        <v>36.968000000000004</v>
      </c>
      <c r="E19" s="2">
        <v>42.35899999999998</v>
      </c>
      <c r="F19" s="2">
        <v>0</v>
      </c>
      <c r="G19" s="2"/>
      <c r="H19" s="2"/>
      <c r="I19" s="2"/>
      <c r="J19" s="2"/>
      <c r="K19" s="2"/>
      <c r="L19" s="2"/>
      <c r="M19" s="2"/>
      <c r="N19" s="4">
        <f t="shared" si="0"/>
        <v>144.86899999999997</v>
      </c>
      <c r="AS19" s="72"/>
      <c r="AU19" s="80" t="str">
        <f t="shared" si="1"/>
        <v>Butano</v>
      </c>
      <c r="AV19" s="81">
        <f>HLOOKUP(MAXA(B4:M4),$B$4:$M$49,15,FALSE)</f>
        <v>97.680999999999997</v>
      </c>
      <c r="AW19" s="81"/>
      <c r="AX19" s="72"/>
    </row>
    <row r="20" spans="1:50" ht="16.5" customHeight="1" x14ac:dyDescent="0.2">
      <c r="A20" s="9" t="s">
        <v>18</v>
      </c>
      <c r="B20" s="3">
        <v>107.73099999999999</v>
      </c>
      <c r="C20" s="2">
        <v>117.679</v>
      </c>
      <c r="D20" s="2">
        <v>125.303</v>
      </c>
      <c r="E20" s="2">
        <v>120.675</v>
      </c>
      <c r="F20" s="2">
        <v>71.284999999999997</v>
      </c>
      <c r="G20" s="2"/>
      <c r="H20" s="2"/>
      <c r="I20" s="2"/>
      <c r="J20" s="2"/>
      <c r="K20" s="2"/>
      <c r="L20" s="2"/>
      <c r="M20" s="2"/>
      <c r="N20" s="4">
        <f t="shared" si="0"/>
        <v>542.673</v>
      </c>
      <c r="AS20" s="72"/>
      <c r="AU20" s="80" t="str">
        <f t="shared" si="1"/>
        <v>Propano</v>
      </c>
      <c r="AV20" s="81">
        <f>HLOOKUP(MAXA(B4:M4),$B$4:$M$49,16,FALSE)</f>
        <v>0</v>
      </c>
      <c r="AW20" s="81"/>
      <c r="AX20" s="72"/>
    </row>
    <row r="21" spans="1:50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/>
      <c r="H21" s="2"/>
      <c r="I21" s="2"/>
      <c r="J21" s="2"/>
      <c r="K21" s="2"/>
      <c r="L21" s="2"/>
      <c r="M21" s="2"/>
      <c r="N21" s="4">
        <f t="shared" si="0"/>
        <v>0</v>
      </c>
      <c r="AS21" s="72"/>
      <c r="AU21" s="80" t="str">
        <f t="shared" si="1"/>
        <v>Nafta</v>
      </c>
      <c r="AV21" s="81">
        <f>HLOOKUP(MAXA(B4:M4),$B$4:$M$49,17,FALSE)</f>
        <v>71.284999999999997</v>
      </c>
      <c r="AW21" s="81"/>
      <c r="AX21" s="72"/>
    </row>
    <row r="22" spans="1:50" ht="16.5" customHeight="1" x14ac:dyDescent="0.2">
      <c r="A22" s="9" t="s">
        <v>20</v>
      </c>
      <c r="B22" s="3">
        <v>100.416</v>
      </c>
      <c r="C22" s="2">
        <v>69.212999999999994</v>
      </c>
      <c r="D22" s="2">
        <v>91.68</v>
      </c>
      <c r="E22" s="2">
        <v>81.691000000000003</v>
      </c>
      <c r="F22" s="2">
        <v>78.712000000000003</v>
      </c>
      <c r="G22" s="2"/>
      <c r="H22" s="2"/>
      <c r="I22" s="2"/>
      <c r="J22" s="2"/>
      <c r="K22" s="2"/>
      <c r="L22" s="2"/>
      <c r="M22" s="2"/>
      <c r="N22" s="4">
        <f t="shared" si="0"/>
        <v>421.71199999999999</v>
      </c>
      <c r="AS22" s="72"/>
      <c r="AU22" s="80" t="str">
        <f t="shared" si="1"/>
        <v>Gasolina 97 I.O.</v>
      </c>
      <c r="AV22" s="81">
        <f>HLOOKUP(MAXA(B4:M4),$B$4:$M$49,18,FALSE)</f>
        <v>0</v>
      </c>
      <c r="AW22" s="81"/>
      <c r="AX22" s="72"/>
    </row>
    <row r="23" spans="1:50" ht="16.5" customHeight="1" x14ac:dyDescent="0.2">
      <c r="A23" s="9" t="s">
        <v>21</v>
      </c>
      <c r="B23" s="3">
        <v>1.008</v>
      </c>
      <c r="C23" s="2">
        <v>14.54</v>
      </c>
      <c r="D23" s="2">
        <v>9.2439999999999998</v>
      </c>
      <c r="E23" s="2">
        <v>15.617000000000001</v>
      </c>
      <c r="F23" s="2">
        <v>3.8170000000000002</v>
      </c>
      <c r="G23" s="2"/>
      <c r="H23" s="2"/>
      <c r="I23" s="2"/>
      <c r="J23" s="2"/>
      <c r="K23" s="2"/>
      <c r="L23" s="2"/>
      <c r="M23" s="2"/>
      <c r="N23" s="4">
        <f t="shared" si="0"/>
        <v>44.225999999999999</v>
      </c>
      <c r="AS23" s="72"/>
      <c r="AU23" s="80" t="str">
        <f t="shared" si="1"/>
        <v>Gasolina 95 I.O.</v>
      </c>
      <c r="AV23" s="81">
        <f>HLOOKUP(MAXA(B4:M4),$B$4:$M$49,19,FALSE)</f>
        <v>78.712000000000003</v>
      </c>
      <c r="AW23" s="81"/>
      <c r="AX23" s="72"/>
    </row>
    <row r="24" spans="1:50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/>
      <c r="H24" s="2"/>
      <c r="I24" s="2"/>
      <c r="J24" s="2"/>
      <c r="K24" s="2"/>
      <c r="L24" s="2"/>
      <c r="M24" s="2"/>
      <c r="N24" s="4">
        <f t="shared" si="0"/>
        <v>0</v>
      </c>
      <c r="AS24" s="72"/>
      <c r="AU24" s="80" t="str">
        <f t="shared" si="1"/>
        <v>Gasolina 98 I.O.</v>
      </c>
      <c r="AV24" s="81">
        <f>HLOOKUP(MAXA(B4:M4),$B$4:$M$49,20,FALSE)</f>
        <v>3.8170000000000002</v>
      </c>
      <c r="AW24" s="81"/>
      <c r="AX24" s="72"/>
    </row>
    <row r="25" spans="1:50" ht="16.5" customHeight="1" x14ac:dyDescent="0.2">
      <c r="A25" s="9" t="s">
        <v>23</v>
      </c>
      <c r="B25" s="3">
        <v>760.81400000000008</v>
      </c>
      <c r="C25" s="2">
        <v>588.79399999999987</v>
      </c>
      <c r="D25" s="2">
        <v>725.33399999999995</v>
      </c>
      <c r="E25" s="2">
        <v>808.95899999999995</v>
      </c>
      <c r="F25" s="2">
        <v>828.1</v>
      </c>
      <c r="G25" s="2"/>
      <c r="H25" s="2"/>
      <c r="I25" s="2"/>
      <c r="J25" s="2"/>
      <c r="K25" s="2"/>
      <c r="L25" s="2"/>
      <c r="M25" s="2"/>
      <c r="N25" s="4">
        <f t="shared" si="0"/>
        <v>3712.0009999999997</v>
      </c>
      <c r="AS25" s="72"/>
      <c r="AU25" s="80" t="str">
        <f t="shared" si="1"/>
        <v>Gasolina de Aviación</v>
      </c>
      <c r="AV25" s="81">
        <f>HLOOKUP(MAXA(B4:M4),$B$4:$M$49,21,FALSE)</f>
        <v>0</v>
      </c>
      <c r="AW25" s="81"/>
      <c r="AX25" s="72"/>
    </row>
    <row r="26" spans="1:50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/>
      <c r="H26" s="2"/>
      <c r="I26" s="2"/>
      <c r="J26" s="2"/>
      <c r="K26" s="2"/>
      <c r="L26" s="2"/>
      <c r="M26" s="2"/>
      <c r="N26" s="4">
        <f t="shared" si="0"/>
        <v>0</v>
      </c>
      <c r="AS26" s="72"/>
      <c r="AU26" s="80" t="str">
        <f t="shared" si="1"/>
        <v>Otras Gasolinas</v>
      </c>
      <c r="AV26" s="81">
        <f>HLOOKUP(MAXA(B4:M4),$B$4:$M$49,22,FALSE)</f>
        <v>828.1</v>
      </c>
      <c r="AW26" s="81"/>
      <c r="AX26" s="72"/>
    </row>
    <row r="27" spans="1:50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/>
      <c r="H27" s="2"/>
      <c r="I27" s="2"/>
      <c r="J27" s="2"/>
      <c r="K27" s="2"/>
      <c r="L27" s="2"/>
      <c r="M27" s="2"/>
      <c r="N27" s="4">
        <f t="shared" si="0"/>
        <v>0</v>
      </c>
      <c r="AS27" s="72"/>
      <c r="AU27" s="80" t="str">
        <f t="shared" si="1"/>
        <v>Bioetanol</v>
      </c>
      <c r="AV27" s="81">
        <f>HLOOKUP(MAXA(B4:M4),$B$4:$M$49,23,FALSE)</f>
        <v>0</v>
      </c>
      <c r="AW27" s="81"/>
      <c r="AX27" s="72"/>
    </row>
    <row r="28" spans="1:50" ht="16.5" customHeight="1" x14ac:dyDescent="0.2">
      <c r="A28" s="9" t="s">
        <v>26</v>
      </c>
      <c r="B28" s="3">
        <v>41.451999999999998</v>
      </c>
      <c r="C28" s="2">
        <v>47.756</v>
      </c>
      <c r="D28" s="2">
        <v>59.591999999999999</v>
      </c>
      <c r="E28" s="2">
        <v>65.638999999999996</v>
      </c>
      <c r="F28" s="2">
        <v>57.412999999999997</v>
      </c>
      <c r="G28" s="2"/>
      <c r="H28" s="2"/>
      <c r="I28" s="2"/>
      <c r="J28" s="2"/>
      <c r="K28" s="2"/>
      <c r="L28" s="2"/>
      <c r="M28" s="2"/>
      <c r="N28" s="4">
        <f t="shared" si="0"/>
        <v>271.85200000000003</v>
      </c>
      <c r="AS28" s="72"/>
      <c r="AU28" s="80" t="str">
        <f t="shared" si="1"/>
        <v>Gasolinas Mezcla</v>
      </c>
      <c r="AV28" s="81">
        <f>HLOOKUP(MAXA(B4:M4),$B$4:$M$49,24,FALSE)</f>
        <v>0</v>
      </c>
      <c r="AW28" s="81"/>
      <c r="AX28" s="72"/>
    </row>
    <row r="29" spans="1:50" ht="15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/>
      <c r="H29" s="2"/>
      <c r="I29" s="2"/>
      <c r="J29" s="2"/>
      <c r="K29" s="2"/>
      <c r="L29" s="2"/>
      <c r="M29" s="2"/>
      <c r="N29" s="4">
        <f t="shared" si="0"/>
        <v>0</v>
      </c>
      <c r="AS29" s="72"/>
      <c r="AU29" s="80" t="str">
        <f>A28</f>
        <v>Queroseno aviac. Jet A1</v>
      </c>
      <c r="AV29" s="81">
        <f>HLOOKUP(MAXA(B4:M4),$B$4:$M$49,25,FALSE)</f>
        <v>57.412999999999997</v>
      </c>
      <c r="AW29" s="81"/>
      <c r="AX29" s="72"/>
    </row>
    <row r="30" spans="1:50" ht="12.75" customHeight="1" x14ac:dyDescent="0.2">
      <c r="A30" s="9" t="s">
        <v>28</v>
      </c>
      <c r="B30" s="3">
        <v>777.52800000000002</v>
      </c>
      <c r="C30" s="2">
        <v>663.92600000000004</v>
      </c>
      <c r="D30" s="2">
        <v>871.58399999999995</v>
      </c>
      <c r="E30" s="2">
        <v>857.54399999999998</v>
      </c>
      <c r="F30" s="2">
        <v>883.654</v>
      </c>
      <c r="G30" s="2"/>
      <c r="H30" s="2"/>
      <c r="I30" s="2"/>
      <c r="J30" s="2"/>
      <c r="K30" s="2"/>
      <c r="L30" s="2"/>
      <c r="M30" s="2"/>
      <c r="N30" s="4">
        <f t="shared" si="0"/>
        <v>4054.2359999999999</v>
      </c>
      <c r="AS30" s="72"/>
      <c r="AU30" s="80" t="str">
        <f t="shared" si="1"/>
        <v>Queroseno aviac. Jet A2</v>
      </c>
      <c r="AV30" s="81">
        <f>HLOOKUP(MAXA(B4:M4),$B$4:$M$49,26,FALSE)</f>
        <v>0</v>
      </c>
      <c r="AW30" s="81"/>
      <c r="AX30" s="72"/>
    </row>
    <row r="31" spans="1:50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/>
      <c r="H31" s="2"/>
      <c r="I31" s="2"/>
      <c r="J31" s="2"/>
      <c r="K31" s="2"/>
      <c r="L31" s="2"/>
      <c r="M31" s="2"/>
      <c r="N31" s="4">
        <f t="shared" si="0"/>
        <v>0</v>
      </c>
      <c r="AS31" s="72"/>
      <c r="AU31" s="80" t="str">
        <f t="shared" si="1"/>
        <v>Otros Querosenos</v>
      </c>
      <c r="AV31" s="81">
        <f>HLOOKUP(MAXA(B4:M4),$B$4:$M$49,27,FALSE)</f>
        <v>883.654</v>
      </c>
      <c r="AW31" s="81"/>
      <c r="AX31" s="72"/>
    </row>
    <row r="32" spans="1:50" ht="16.5" customHeight="1" x14ac:dyDescent="0.2">
      <c r="A32" s="9" t="s">
        <v>30</v>
      </c>
      <c r="B32" s="3">
        <v>159.40600000000001</v>
      </c>
      <c r="C32" s="2">
        <v>135.51499999999999</v>
      </c>
      <c r="D32" s="2">
        <v>181.43299999999999</v>
      </c>
      <c r="E32" s="2">
        <v>251.18199999999999</v>
      </c>
      <c r="F32" s="2">
        <v>272.70400000000001</v>
      </c>
      <c r="G32" s="2"/>
      <c r="H32" s="2"/>
      <c r="I32" s="2"/>
      <c r="J32" s="2"/>
      <c r="K32" s="2"/>
      <c r="L32" s="2"/>
      <c r="M32" s="2"/>
      <c r="N32" s="4">
        <f t="shared" si="0"/>
        <v>1000.24</v>
      </c>
      <c r="AB32" t="s">
        <v>69</v>
      </c>
      <c r="AS32" s="72"/>
      <c r="AU32" s="80" t="str">
        <f t="shared" si="1"/>
        <v>Gasóleo A</v>
      </c>
      <c r="AV32" s="81">
        <f>HLOOKUP(MAXA(B4:M4),$B$4:$M$49,28,FALSE)</f>
        <v>0</v>
      </c>
      <c r="AW32" s="81"/>
      <c r="AX32" s="72"/>
    </row>
    <row r="33" spans="1:50" ht="16.5" customHeight="1" x14ac:dyDescent="0.2">
      <c r="A33" s="9" t="s">
        <v>31</v>
      </c>
      <c r="B33" s="3">
        <v>23.766999999999999</v>
      </c>
      <c r="C33" s="2">
        <v>3.544</v>
      </c>
      <c r="D33" s="2">
        <v>21.707999999999998</v>
      </c>
      <c r="E33" s="2">
        <v>30.936</v>
      </c>
      <c r="F33" s="2">
        <v>4.282</v>
      </c>
      <c r="G33" s="2"/>
      <c r="H33" s="2"/>
      <c r="I33" s="2"/>
      <c r="J33" s="2"/>
      <c r="K33" s="2"/>
      <c r="L33" s="2"/>
      <c r="M33" s="2"/>
      <c r="N33" s="4">
        <f t="shared" si="0"/>
        <v>84.236999999999995</v>
      </c>
      <c r="AS33" s="72"/>
      <c r="AU33" s="80" t="str">
        <f t="shared" si="1"/>
        <v>Gasóleo A 10 PPM</v>
      </c>
      <c r="AV33" s="81">
        <f>HLOOKUP(MAXA(B4:M4),$B$4:$M$49,29,FALSE)</f>
        <v>272.70400000000001</v>
      </c>
      <c r="AW33" s="81"/>
      <c r="AX33" s="72"/>
    </row>
    <row r="34" spans="1:50" ht="16.5" customHeight="1" x14ac:dyDescent="0.2">
      <c r="A34" s="9" t="s">
        <v>32</v>
      </c>
      <c r="B34" s="3">
        <v>17.497</v>
      </c>
      <c r="C34" s="2">
        <v>0.38500000000000001</v>
      </c>
      <c r="D34" s="2">
        <v>4.3410000000000002</v>
      </c>
      <c r="E34" s="2">
        <v>3.37</v>
      </c>
      <c r="F34" s="2">
        <v>1.8640000000000001</v>
      </c>
      <c r="G34" s="2"/>
      <c r="H34" s="2"/>
      <c r="I34" s="2"/>
      <c r="J34" s="2"/>
      <c r="K34" s="2"/>
      <c r="L34" s="2"/>
      <c r="M34" s="2"/>
      <c r="N34" s="4">
        <f t="shared" si="0"/>
        <v>27.457000000000004</v>
      </c>
      <c r="AS34" s="72"/>
      <c r="AU34" s="80" t="str">
        <f t="shared" si="1"/>
        <v>Gasóleo B</v>
      </c>
      <c r="AV34" s="81">
        <f>HLOOKUP(MAXA(B4:M4),$B$4:$M$49,30,FALSE)</f>
        <v>4.282</v>
      </c>
      <c r="AW34" s="81"/>
      <c r="AX34" s="72"/>
    </row>
    <row r="35" spans="1:50" ht="16.5" customHeight="1" x14ac:dyDescent="0.2">
      <c r="A35" s="9" t="s">
        <v>33</v>
      </c>
      <c r="B35" s="3">
        <v>75.739000000000004</v>
      </c>
      <c r="C35" s="2">
        <v>71.179000000000002</v>
      </c>
      <c r="D35" s="2">
        <v>80.385999999999996</v>
      </c>
      <c r="E35" s="2">
        <v>73.438000000000002</v>
      </c>
      <c r="F35" s="2">
        <v>75.231999999999999</v>
      </c>
      <c r="G35" s="2"/>
      <c r="H35" s="2"/>
      <c r="I35" s="2"/>
      <c r="J35" s="2"/>
      <c r="K35" s="2"/>
      <c r="L35" s="2"/>
      <c r="M35" s="2"/>
      <c r="N35" s="4">
        <f t="shared" si="0"/>
        <v>375.97400000000005</v>
      </c>
      <c r="AS35" s="72"/>
      <c r="AU35" s="80" t="str">
        <f t="shared" si="1"/>
        <v>Gasóleo C</v>
      </c>
      <c r="AV35" s="81">
        <f>HLOOKUP(MAXA(B4:M4),$B$4:$M$49,31,FALSE)</f>
        <v>1.8640000000000001</v>
      </c>
      <c r="AW35" s="81"/>
      <c r="AX35" s="72"/>
    </row>
    <row r="36" spans="1:50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/>
      <c r="H36" s="2"/>
      <c r="I36" s="2"/>
      <c r="J36" s="2"/>
      <c r="K36" s="2"/>
      <c r="L36" s="2"/>
      <c r="M36" s="2"/>
      <c r="N36" s="4">
        <f t="shared" si="0"/>
        <v>0</v>
      </c>
      <c r="AS36" s="72"/>
      <c r="AU36" s="80" t="str">
        <f t="shared" si="1"/>
        <v>Gasóleo para uso marítimo</v>
      </c>
      <c r="AV36" s="81">
        <f>HLOOKUP(MAXA(B4:M4),$B$4:$M$49,32,FALSE)</f>
        <v>75.231999999999999</v>
      </c>
      <c r="AW36" s="81"/>
      <c r="AX36" s="72"/>
    </row>
    <row r="37" spans="1:50" ht="16.5" customHeight="1" x14ac:dyDescent="0.2">
      <c r="A37" s="9" t="s">
        <v>35</v>
      </c>
      <c r="B37" s="3">
        <v>1694.88</v>
      </c>
      <c r="C37" s="2">
        <v>1411.0920000000001</v>
      </c>
      <c r="D37" s="2">
        <v>1840.8529999999998</v>
      </c>
      <c r="E37" s="2">
        <v>1715.83</v>
      </c>
      <c r="F37" s="2">
        <v>1697.3580000000002</v>
      </c>
      <c r="G37" s="2"/>
      <c r="H37" s="2"/>
      <c r="I37" s="2"/>
      <c r="J37" s="2"/>
      <c r="K37" s="2"/>
      <c r="L37" s="2"/>
      <c r="M37" s="2"/>
      <c r="N37" s="4">
        <f t="shared" si="0"/>
        <v>8360.012999999999</v>
      </c>
      <c r="AS37" s="72"/>
      <c r="AU37" s="80" t="str">
        <f t="shared" si="1"/>
        <v>Diésel para uso marítimo</v>
      </c>
      <c r="AV37" s="81">
        <f>HLOOKUP(MAXA(B4:M4),$B$4:$M$49,33,FALSE)</f>
        <v>0</v>
      </c>
      <c r="AW37" s="81"/>
      <c r="AX37" s="72"/>
    </row>
    <row r="38" spans="1:50" ht="16.5" customHeight="1" x14ac:dyDescent="0.2">
      <c r="A38" s="9" t="s">
        <v>36</v>
      </c>
      <c r="B38" s="3">
        <v>28.835000000000001</v>
      </c>
      <c r="C38" s="2">
        <v>29.776</v>
      </c>
      <c r="D38" s="2">
        <v>38.939</v>
      </c>
      <c r="E38" s="2">
        <v>40.362000000000002</v>
      </c>
      <c r="F38" s="2">
        <v>44.658999999999999</v>
      </c>
      <c r="G38" s="2"/>
      <c r="H38" s="2"/>
      <c r="I38" s="2"/>
      <c r="J38" s="2"/>
      <c r="K38" s="2"/>
      <c r="L38" s="2"/>
      <c r="M38" s="2"/>
      <c r="N38" s="4">
        <f t="shared" si="0"/>
        <v>182.571</v>
      </c>
      <c r="AS38" s="72"/>
      <c r="AU38" s="80" t="str">
        <f t="shared" si="1"/>
        <v>Otros Gasóleos</v>
      </c>
      <c r="AV38" s="81">
        <f>HLOOKUP(MAXA(B4:M4),$B$4:$M$49,34,FALSE)</f>
        <v>1697.3580000000002</v>
      </c>
      <c r="AW38" s="81"/>
      <c r="AX38" s="72"/>
    </row>
    <row r="39" spans="1:50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/>
      <c r="H39" s="2"/>
      <c r="I39" s="2"/>
      <c r="J39" s="2"/>
      <c r="K39" s="2"/>
      <c r="L39" s="2"/>
      <c r="M39" s="2"/>
      <c r="N39" s="4">
        <f t="shared" si="0"/>
        <v>0</v>
      </c>
      <c r="AS39" s="72"/>
      <c r="AU39" s="80" t="str">
        <f t="shared" si="1"/>
        <v>Biodiesel</v>
      </c>
      <c r="AV39" s="81">
        <f>HLOOKUP(MAXA(B4:M4),$B$4:$M$49,35,FALSE)</f>
        <v>44.658999999999999</v>
      </c>
      <c r="AW39" s="81"/>
      <c r="AX39" s="72"/>
    </row>
    <row r="40" spans="1:50" ht="16.5" customHeight="1" x14ac:dyDescent="0.2">
      <c r="A40" s="9" t="s">
        <v>38</v>
      </c>
      <c r="B40" s="3">
        <v>0</v>
      </c>
      <c r="C40" s="2">
        <v>0</v>
      </c>
      <c r="D40" s="2">
        <v>8.9999999999999993E-3</v>
      </c>
      <c r="E40" s="2">
        <v>1.2E-2</v>
      </c>
      <c r="F40" s="2">
        <v>0</v>
      </c>
      <c r="G40" s="2"/>
      <c r="H40" s="2"/>
      <c r="I40" s="2"/>
      <c r="J40" s="2"/>
      <c r="K40" s="2"/>
      <c r="L40" s="2"/>
      <c r="M40" s="2"/>
      <c r="N40" s="4">
        <f t="shared" si="0"/>
        <v>2.0999999999999998E-2</v>
      </c>
      <c r="AS40" s="72"/>
      <c r="AU40" s="80" t="str">
        <f t="shared" si="1"/>
        <v>Biodiesel Mezcla</v>
      </c>
      <c r="AV40" s="81">
        <f>HLOOKUP(MAXA(B4:M4),$B$4:$M$49,36,FALSE)</f>
        <v>0</v>
      </c>
      <c r="AW40" s="81"/>
      <c r="AX40" s="72"/>
    </row>
    <row r="41" spans="1:50" ht="16.5" customHeight="1" x14ac:dyDescent="0.2">
      <c r="A41" s="9" t="s">
        <v>39</v>
      </c>
      <c r="B41" s="3">
        <v>7.6999999999999999E-2</v>
      </c>
      <c r="C41" s="2">
        <v>45.35</v>
      </c>
      <c r="D41" s="2">
        <v>4.7E-2</v>
      </c>
      <c r="E41" s="2">
        <v>0.02</v>
      </c>
      <c r="F41" s="2">
        <v>8.5999999999999993E-2</v>
      </c>
      <c r="G41" s="2"/>
      <c r="H41" s="2"/>
      <c r="I41" s="2"/>
      <c r="J41" s="2"/>
      <c r="K41" s="2"/>
      <c r="L41" s="2"/>
      <c r="M41" s="2"/>
      <c r="N41" s="4">
        <f t="shared" si="0"/>
        <v>45.58</v>
      </c>
      <c r="AS41" s="72"/>
      <c r="AU41" s="80" t="str">
        <f t="shared" si="1"/>
        <v>Fuelóleo BIA</v>
      </c>
      <c r="AV41" s="81">
        <f>HLOOKUP(MAXA(B4:M4),$B$4:$M$49,37,FALSE)</f>
        <v>0</v>
      </c>
      <c r="AW41" s="81"/>
      <c r="AX41" s="72"/>
    </row>
    <row r="42" spans="1:50" ht="16.5" customHeight="1" x14ac:dyDescent="0.2">
      <c r="A42" s="9" t="s">
        <v>60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/>
      <c r="H42" s="2"/>
      <c r="I42" s="2"/>
      <c r="J42" s="2"/>
      <c r="K42" s="2"/>
      <c r="L42" s="2"/>
      <c r="M42" s="2"/>
      <c r="N42" s="4">
        <f t="shared" si="0"/>
        <v>0</v>
      </c>
      <c r="AS42" s="72"/>
      <c r="AU42" s="80" t="str">
        <f t="shared" si="1"/>
        <v>Fuelóleo de refineria</v>
      </c>
      <c r="AV42" s="81">
        <f>HLOOKUP(MAXA(B4:M4),$B$4:$M$49,38,FALSE)</f>
        <v>8.5999999999999993E-2</v>
      </c>
      <c r="AW42" s="81"/>
      <c r="AX42" s="72"/>
    </row>
    <row r="43" spans="1:50" ht="16.5" customHeight="1" x14ac:dyDescent="0.2">
      <c r="A43" s="9" t="s">
        <v>40</v>
      </c>
      <c r="B43" s="3">
        <v>339.95</v>
      </c>
      <c r="C43" s="2">
        <v>207.1</v>
      </c>
      <c r="D43" s="2">
        <v>336.274</v>
      </c>
      <c r="E43" s="2">
        <v>316.65300000000002</v>
      </c>
      <c r="F43" s="2">
        <v>209.661</v>
      </c>
      <c r="G43" s="2"/>
      <c r="H43" s="2"/>
      <c r="I43" s="2"/>
      <c r="J43" s="2"/>
      <c r="K43" s="2"/>
      <c r="L43" s="2"/>
      <c r="M43" s="2"/>
      <c r="N43" s="4">
        <f t="shared" si="0"/>
        <v>1409.6379999999999</v>
      </c>
      <c r="AS43" s="72"/>
      <c r="AU43" s="80" t="str">
        <f t="shared" si="1"/>
        <v>Otros combustibles para uso marítimo</v>
      </c>
      <c r="AV43" s="81">
        <f>HLOOKUP(MAXA(B4:M4),$B$4:$M$49,39,FALSE)</f>
        <v>0</v>
      </c>
      <c r="AW43" s="81"/>
      <c r="AX43" s="72"/>
    </row>
    <row r="44" spans="1:50" ht="16.5" customHeight="1" x14ac:dyDescent="0.2">
      <c r="A44" s="9" t="s">
        <v>41</v>
      </c>
      <c r="B44" s="3">
        <v>19.731000000000002</v>
      </c>
      <c r="C44" s="2">
        <v>18.738</v>
      </c>
      <c r="D44" s="2">
        <v>23.952999999999999</v>
      </c>
      <c r="E44" s="2">
        <v>17.86</v>
      </c>
      <c r="F44" s="2">
        <v>19.468</v>
      </c>
      <c r="G44" s="2"/>
      <c r="H44" s="2"/>
      <c r="I44" s="2"/>
      <c r="J44" s="2"/>
      <c r="K44" s="2"/>
      <c r="L44" s="2"/>
      <c r="M44" s="2"/>
      <c r="N44" s="4">
        <f t="shared" si="0"/>
        <v>99.75</v>
      </c>
      <c r="AS44" s="72"/>
      <c r="AU44" s="80" t="str">
        <f>A43</f>
        <v>Otros Fuelóleos</v>
      </c>
      <c r="AV44" s="81">
        <f>HLOOKUP(MAXA(B4:M4),$B$4:$M$49,40,FALSE)</f>
        <v>209.661</v>
      </c>
      <c r="AW44" s="81"/>
      <c r="AX44" s="72"/>
    </row>
    <row r="45" spans="1:50" ht="16.5" customHeight="1" x14ac:dyDescent="0.2">
      <c r="A45" s="9" t="s">
        <v>42</v>
      </c>
      <c r="B45" s="3">
        <v>119.93300000000001</v>
      </c>
      <c r="C45" s="2">
        <v>89.622</v>
      </c>
      <c r="D45" s="2">
        <v>151.07599999999999</v>
      </c>
      <c r="E45" s="2">
        <v>152.05000000000001</v>
      </c>
      <c r="F45" s="2">
        <v>166.62</v>
      </c>
      <c r="G45" s="2"/>
      <c r="H45" s="2"/>
      <c r="I45" s="2"/>
      <c r="J45" s="2"/>
      <c r="K45" s="2"/>
      <c r="L45" s="2"/>
      <c r="M45" s="2"/>
      <c r="N45" s="4">
        <f t="shared" si="0"/>
        <v>679.30100000000004</v>
      </c>
      <c r="AS45" s="72"/>
      <c r="AU45" s="80" t="str">
        <f t="shared" si="1"/>
        <v>Aceites y bases lubricantes</v>
      </c>
      <c r="AV45" s="81">
        <f>HLOOKUP(MAXA(B4:M4),$B$4:$M$49,41,FALSE)</f>
        <v>19.468</v>
      </c>
      <c r="AW45" s="81"/>
      <c r="AX45" s="72"/>
    </row>
    <row r="46" spans="1:50" ht="16.5" customHeight="1" x14ac:dyDescent="0.2">
      <c r="A46" s="9" t="s">
        <v>43</v>
      </c>
      <c r="B46" s="3">
        <v>7.4349999999999996</v>
      </c>
      <c r="C46" s="2">
        <v>10.071999999999999</v>
      </c>
      <c r="D46" s="2">
        <v>13.333</v>
      </c>
      <c r="E46" s="2">
        <v>10.622</v>
      </c>
      <c r="F46" s="2">
        <v>10.268000000000001</v>
      </c>
      <c r="G46" s="2"/>
      <c r="H46" s="2"/>
      <c r="I46" s="2"/>
      <c r="J46" s="2"/>
      <c r="K46" s="2"/>
      <c r="L46" s="2"/>
      <c r="M46" s="2"/>
      <c r="N46" s="4">
        <f t="shared" si="0"/>
        <v>51.73</v>
      </c>
      <c r="AS46" s="72"/>
      <c r="AU46" s="80" t="str">
        <f t="shared" si="1"/>
        <v>Productos asfálticos</v>
      </c>
      <c r="AV46" s="81">
        <f>HLOOKUP(MAXA(B4:M4),$B$4:$M$49,42,FALSE)</f>
        <v>166.62</v>
      </c>
      <c r="AW46" s="81"/>
      <c r="AX46" s="72"/>
    </row>
    <row r="47" spans="1:50" ht="16.5" customHeight="1" x14ac:dyDescent="0.2">
      <c r="A47" s="9" t="s">
        <v>44</v>
      </c>
      <c r="B47" s="3">
        <v>6.1219999999999999</v>
      </c>
      <c r="C47" s="2">
        <v>4.4130000000000003</v>
      </c>
      <c r="D47" s="2">
        <v>5.3150000000000004</v>
      </c>
      <c r="E47" s="2">
        <v>4.8810000000000002</v>
      </c>
      <c r="F47" s="2">
        <v>5.2619999999999996</v>
      </c>
      <c r="G47" s="2"/>
      <c r="H47" s="2"/>
      <c r="I47" s="2"/>
      <c r="J47" s="2"/>
      <c r="K47" s="2"/>
      <c r="L47" s="2"/>
      <c r="M47" s="2"/>
      <c r="N47" s="4">
        <f t="shared" si="0"/>
        <v>25.993000000000002</v>
      </c>
      <c r="AS47" s="72"/>
      <c r="AU47" s="80" t="str">
        <f t="shared" si="1"/>
        <v>Disolventes</v>
      </c>
      <c r="AV47" s="81">
        <f>HLOOKUP(MAXA(B4:M4),$B$4:$M$49,43,FALSE)</f>
        <v>10.268000000000001</v>
      </c>
      <c r="AW47" s="81"/>
      <c r="AX47" s="72"/>
    </row>
    <row r="48" spans="1:50" ht="16.5" customHeight="1" x14ac:dyDescent="0.2">
      <c r="A48" s="9" t="s">
        <v>45</v>
      </c>
      <c r="B48" s="3">
        <v>261.02199999999999</v>
      </c>
      <c r="C48" s="2">
        <v>208.959</v>
      </c>
      <c r="D48" s="2">
        <v>249.345</v>
      </c>
      <c r="E48" s="2">
        <v>240.208</v>
      </c>
      <c r="F48" s="2">
        <v>235.03299999999999</v>
      </c>
      <c r="G48" s="2"/>
      <c r="H48" s="2"/>
      <c r="I48" s="2"/>
      <c r="J48" s="2"/>
      <c r="K48" s="2"/>
      <c r="L48" s="2"/>
      <c r="M48" s="2"/>
      <c r="N48" s="4">
        <f t="shared" si="0"/>
        <v>1194.567</v>
      </c>
      <c r="AS48" s="72"/>
      <c r="AU48" s="80" t="str">
        <f t="shared" si="1"/>
        <v>Parafinas</v>
      </c>
      <c r="AV48" s="81">
        <f>HLOOKUP(MAXA(B4:M4),$B$4:$M$49,44,FALSE)</f>
        <v>5.2619999999999996</v>
      </c>
      <c r="AW48" s="81"/>
      <c r="AX48" s="72"/>
    </row>
    <row r="49" spans="1:50" ht="18" customHeight="1" x14ac:dyDescent="0.2">
      <c r="A49" s="10" t="s">
        <v>52</v>
      </c>
      <c r="B49" s="7">
        <v>145.75299999999999</v>
      </c>
      <c r="C49" s="5">
        <v>224.12699999999998</v>
      </c>
      <c r="D49" s="5">
        <v>191.25700000000052</v>
      </c>
      <c r="E49" s="5">
        <v>179.39699999999903</v>
      </c>
      <c r="F49" s="5">
        <v>163.01299999999998</v>
      </c>
      <c r="G49" s="5"/>
      <c r="H49" s="5"/>
      <c r="I49" s="5"/>
      <c r="J49" s="5"/>
      <c r="K49" s="5"/>
      <c r="L49" s="5"/>
      <c r="M49" s="5"/>
      <c r="N49" s="6">
        <f t="shared" si="0"/>
        <v>903.54699999999957</v>
      </c>
      <c r="AS49" s="72"/>
      <c r="AU49" s="80" t="str">
        <f t="shared" si="1"/>
        <v>Coque de petróleo</v>
      </c>
      <c r="AV49" s="81">
        <f>HLOOKUP(MAXA(B4:M4),$B$4:$M$49,45,FALSE)</f>
        <v>235.03299999999999</v>
      </c>
      <c r="AW49" s="81"/>
      <c r="AX49" s="72"/>
    </row>
    <row r="50" spans="1:50" x14ac:dyDescent="0.2">
      <c r="F50" s="41"/>
      <c r="AS50" s="72"/>
      <c r="AU50" s="80" t="str">
        <f t="shared" si="1"/>
        <v>Otros Productos</v>
      </c>
      <c r="AV50" s="81">
        <f>HLOOKUP(MAXA(B4:M4),$B$4:$M$49,46,FALSE)</f>
        <v>163.01299999999998</v>
      </c>
      <c r="AW50" s="81"/>
      <c r="AX50" s="72"/>
    </row>
    <row r="51" spans="1:50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  <c r="AS51" s="72"/>
      <c r="AX51" s="72"/>
    </row>
    <row r="52" spans="1:50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  <c r="AS52" s="72"/>
      <c r="AX52" s="72"/>
    </row>
    <row r="53" spans="1:50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  <c r="AS53" s="72"/>
      <c r="AX53" s="72"/>
    </row>
    <row r="54" spans="1:50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  <c r="AS54" s="72"/>
      <c r="AX54" s="72"/>
    </row>
    <row r="55" spans="1:50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  <c r="AS55" s="72"/>
      <c r="AX55" s="72"/>
    </row>
    <row r="56" spans="1:50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  <c r="AS56" s="72"/>
      <c r="AX56" s="72"/>
    </row>
    <row r="57" spans="1:50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  <c r="AS57" s="72"/>
      <c r="AX57" s="72"/>
    </row>
    <row r="58" spans="1:50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  <c r="AS58" s="72"/>
      <c r="AX58" s="72"/>
    </row>
    <row r="59" spans="1:50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  <c r="AS59" s="72"/>
      <c r="AX59" s="72"/>
    </row>
    <row r="60" spans="1:50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  <c r="AS60" s="72"/>
      <c r="AX60" s="72"/>
    </row>
    <row r="61" spans="1:50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  <c r="AS61" s="72"/>
      <c r="AX61" s="72"/>
    </row>
    <row r="62" spans="1:50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  <c r="AS62" s="72"/>
      <c r="AX62" s="72"/>
    </row>
    <row r="63" spans="1:50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  <c r="AR63" s="72"/>
      <c r="AS63" s="72"/>
      <c r="AX63" s="72"/>
    </row>
    <row r="64" spans="1:50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  <c r="AS64" s="72"/>
      <c r="AX64" s="72"/>
    </row>
    <row r="65" spans="2:50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  <c r="AS65" s="72"/>
      <c r="AX65" s="72"/>
    </row>
    <row r="66" spans="2:50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  <c r="AS66" s="72"/>
      <c r="AX66" s="72"/>
    </row>
    <row r="67" spans="2:50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  <c r="AS67" s="72"/>
      <c r="AX67" s="72"/>
    </row>
    <row r="68" spans="2:50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  <c r="AS68" s="72"/>
      <c r="AX68" s="72"/>
    </row>
    <row r="69" spans="2:50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  <c r="AS69" s="72"/>
      <c r="AX69" s="72"/>
    </row>
    <row r="70" spans="2:50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  <c r="AS70" s="72"/>
      <c r="AX70" s="72"/>
    </row>
    <row r="71" spans="2:50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  <c r="AS71" s="72"/>
      <c r="AX71" s="72"/>
    </row>
    <row r="72" spans="2:50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  <c r="AS72" s="72"/>
      <c r="AX72" s="72"/>
    </row>
    <row r="73" spans="2:50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  <c r="AS73" s="72"/>
      <c r="AX73" s="72"/>
    </row>
    <row r="74" spans="2:50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  <c r="AS74" s="72"/>
      <c r="AX74" s="72"/>
    </row>
    <row r="75" spans="2:50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  <c r="AS75" s="72"/>
      <c r="AX75" s="72"/>
    </row>
    <row r="76" spans="2:50" ht="3.75" customHeight="1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  <c r="AS76" s="72"/>
      <c r="AX76" s="72"/>
    </row>
    <row r="77" spans="2:50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  <c r="AS77" s="72"/>
      <c r="AX77" s="72"/>
    </row>
    <row r="78" spans="2:50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  <c r="AS78" s="72"/>
      <c r="AX78" s="72"/>
    </row>
    <row r="79" spans="2:50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  <c r="AS79" s="72"/>
      <c r="AX79" s="72"/>
    </row>
    <row r="80" spans="2:50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  <c r="AS80" s="72"/>
      <c r="AX80" s="72"/>
    </row>
    <row r="81" spans="2:50" ht="11.25" customHeight="1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  <c r="AS81" s="72"/>
      <c r="AX81" s="72"/>
    </row>
    <row r="82" spans="2:50" ht="9" customHeight="1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  <c r="AS82" s="72"/>
      <c r="AX82" s="72"/>
    </row>
    <row r="83" spans="2:50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  <c r="AS83" s="72"/>
      <c r="AX83" s="72"/>
    </row>
    <row r="84" spans="2:50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  <c r="AS84" s="72"/>
      <c r="AX84" s="72"/>
    </row>
    <row r="85" spans="2:50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  <c r="AS85" s="72"/>
      <c r="AX85" s="72"/>
    </row>
    <row r="86" spans="2:50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  <c r="AS86" s="72"/>
      <c r="AX86" s="72"/>
    </row>
    <row r="87" spans="2:50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  <c r="AS87" s="72"/>
      <c r="AX87" s="72"/>
    </row>
    <row r="88" spans="2:50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  <c r="AS88" s="72"/>
      <c r="AX88" s="72"/>
    </row>
    <row r="89" spans="2:50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  <c r="AS89" s="72"/>
      <c r="AX89" s="72"/>
    </row>
    <row r="90" spans="2:50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  <c r="AT90" s="1"/>
      <c r="AU90" s="1"/>
      <c r="AV90" s="1"/>
      <c r="AW90" s="1"/>
    </row>
    <row r="91" spans="2:50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  <c r="AT91" s="1"/>
      <c r="AU91" s="1"/>
      <c r="AV91" s="1"/>
      <c r="AW91" s="1"/>
    </row>
    <row r="92" spans="2:50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  <c r="AT92" s="1"/>
      <c r="AU92" s="1"/>
      <c r="AV92" s="1"/>
      <c r="AW92" s="1"/>
    </row>
    <row r="93" spans="2:50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  <c r="AT93" s="1"/>
      <c r="AU93" s="1"/>
      <c r="AV93" s="1"/>
      <c r="AW93" s="1"/>
    </row>
    <row r="94" spans="2:50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  <c r="AT94" s="1"/>
      <c r="AU94" s="1"/>
      <c r="AV94" s="1"/>
      <c r="AW94" s="1"/>
    </row>
    <row r="95" spans="2:50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  <c r="AT95" s="1"/>
      <c r="AU95" s="1"/>
      <c r="AV95" s="1"/>
      <c r="AW95" s="1"/>
    </row>
    <row r="96" spans="2:50" x14ac:dyDescent="0.2">
      <c r="AT96" s="1"/>
      <c r="AU96" s="1"/>
      <c r="AV96" s="1"/>
      <c r="AW96" s="1"/>
    </row>
    <row r="97" spans="2:49" x14ac:dyDescent="0.2">
      <c r="AT97" s="1"/>
      <c r="AU97" s="1"/>
      <c r="AV97" s="1"/>
      <c r="AW97" s="1"/>
    </row>
    <row r="98" spans="2:49" x14ac:dyDescent="0.2">
      <c r="AT98" s="1"/>
      <c r="AU98" s="1"/>
      <c r="AV98" s="1"/>
      <c r="AW98" s="1"/>
    </row>
    <row r="99" spans="2:49" x14ac:dyDescent="0.2">
      <c r="AT99" s="1"/>
      <c r="AU99" s="1"/>
      <c r="AV99" s="1"/>
      <c r="AW99" s="1"/>
    </row>
    <row r="100" spans="2:49" x14ac:dyDescent="0.2">
      <c r="AT100" s="1"/>
      <c r="AU100" s="1"/>
      <c r="AV100" s="1"/>
      <c r="AW100" s="1"/>
    </row>
    <row r="101" spans="2:49" x14ac:dyDescent="0.2">
      <c r="AT101" s="1"/>
      <c r="AU101" s="1"/>
      <c r="AV101" s="1"/>
      <c r="AW101" s="1"/>
    </row>
    <row r="102" spans="2:49" x14ac:dyDescent="0.2">
      <c r="AT102" s="1"/>
      <c r="AU102" s="1"/>
      <c r="AV102" s="1"/>
      <c r="AW102" s="1"/>
    </row>
    <row r="103" spans="2:49" x14ac:dyDescent="0.2">
      <c r="AT103" s="1"/>
      <c r="AU103" s="1"/>
      <c r="AV103" s="1"/>
      <c r="AW103" s="1"/>
    </row>
    <row r="104" spans="2:49" x14ac:dyDescent="0.2">
      <c r="AT104" s="1"/>
      <c r="AU104" s="1"/>
      <c r="AV104" s="1"/>
      <c r="AW104" s="1"/>
    </row>
    <row r="105" spans="2:49" x14ac:dyDescent="0.2">
      <c r="AT105" s="1"/>
      <c r="AU105" s="1"/>
      <c r="AV105" s="1"/>
      <c r="AW105" s="1"/>
    </row>
    <row r="106" spans="2:49" x14ac:dyDescent="0.2">
      <c r="AT106" s="1"/>
      <c r="AU106" s="1"/>
      <c r="AV106" s="1"/>
      <c r="AW106" s="1"/>
    </row>
    <row r="107" spans="2:49" x14ac:dyDescent="0.2">
      <c r="AT107" s="1"/>
      <c r="AU107" s="1"/>
      <c r="AV107" s="1"/>
      <c r="AW107" s="1"/>
    </row>
    <row r="108" spans="2:49" x14ac:dyDescent="0.2">
      <c r="B108" s="30"/>
      <c r="C108" s="30"/>
      <c r="D108" s="30"/>
      <c r="E108" s="30"/>
      <c r="AT108" s="1"/>
      <c r="AU108" s="1"/>
      <c r="AV108" s="1"/>
      <c r="AW108" s="1"/>
    </row>
    <row r="109" spans="2:49" x14ac:dyDescent="0.2">
      <c r="B109" s="30"/>
      <c r="C109" s="30"/>
      <c r="D109" s="30"/>
      <c r="E109" s="30"/>
    </row>
    <row r="110" spans="2:49" x14ac:dyDescent="0.2">
      <c r="B110" s="30"/>
      <c r="C110" s="30"/>
      <c r="D110" s="30"/>
      <c r="E110" s="30"/>
    </row>
    <row r="111" spans="2:49" x14ac:dyDescent="0.2">
      <c r="B111" s="30"/>
      <c r="C111" s="30"/>
      <c r="D111" s="30"/>
      <c r="E111" s="30"/>
    </row>
    <row r="112" spans="2:49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W47"/>
  <sheetViews>
    <sheetView showGridLines="0" zoomScale="70" zoomScaleNormal="70" workbookViewId="0">
      <selection activeCell="M65" sqref="M65"/>
    </sheetView>
  </sheetViews>
  <sheetFormatPr baseColWidth="10" defaultRowHeight="14.25" x14ac:dyDescent="0.2"/>
  <cols>
    <col min="1" max="1" width="69" style="59" customWidth="1"/>
    <col min="2" max="11" width="11" style="59" customWidth="1"/>
    <col min="12" max="12" width="11" style="69" customWidth="1"/>
    <col min="13" max="13" width="11" style="59" customWidth="1"/>
    <col min="14" max="45" width="11" style="59"/>
    <col min="46" max="46" width="9.375" style="59" customWidth="1"/>
    <col min="47" max="48" width="11" style="59"/>
    <col min="49" max="49" width="11" style="90"/>
    <col min="50" max="16384" width="11" style="59"/>
  </cols>
  <sheetData>
    <row r="1" spans="1:16" ht="15" x14ac:dyDescent="0.25">
      <c r="A1" s="57" t="s">
        <v>13</v>
      </c>
      <c r="B1" s="58">
        <v>2013</v>
      </c>
      <c r="C1" s="58">
        <v>2014</v>
      </c>
      <c r="D1" s="58">
        <v>2015</v>
      </c>
      <c r="E1" s="58">
        <v>2016</v>
      </c>
      <c r="F1" s="58">
        <v>2017</v>
      </c>
      <c r="G1" s="58">
        <v>2018</v>
      </c>
      <c r="H1" s="58">
        <v>2019</v>
      </c>
      <c r="I1" s="58">
        <v>2020</v>
      </c>
      <c r="J1" s="58">
        <v>2021</v>
      </c>
      <c r="K1" s="58">
        <v>2022</v>
      </c>
      <c r="L1" s="58">
        <v>2023</v>
      </c>
      <c r="M1" s="58">
        <v>2024</v>
      </c>
      <c r="N1" s="58">
        <v>2025</v>
      </c>
      <c r="O1" s="91"/>
    </row>
    <row r="2" spans="1:16" ht="15" x14ac:dyDescent="0.2">
      <c r="A2" s="60" t="s">
        <v>0</v>
      </c>
      <c r="B2" s="61">
        <v>368.34000000000003</v>
      </c>
      <c r="C2" s="62">
        <v>305.411</v>
      </c>
      <c r="D2" s="62">
        <v>232.244</v>
      </c>
      <c r="E2" s="63">
        <v>140.89499999999998</v>
      </c>
      <c r="F2" s="63">
        <v>120.10500000000002</v>
      </c>
      <c r="G2" s="63">
        <v>86.990999999999985</v>
      </c>
      <c r="H2" s="63">
        <v>40.245000000000005</v>
      </c>
      <c r="I2" s="63">
        <v>27.536000000000001</v>
      </c>
      <c r="J2" s="63">
        <v>5.8159999999999998</v>
      </c>
      <c r="K2" s="63">
        <v>0.91199999999999992</v>
      </c>
      <c r="L2" s="64">
        <v>0.67200000000000004</v>
      </c>
      <c r="M2" s="64">
        <f>'2024'!N5</f>
        <v>0.59899999999999998</v>
      </c>
      <c r="N2" s="64">
        <v>1.2979999999999998</v>
      </c>
      <c r="O2" s="92"/>
      <c r="P2" s="69"/>
    </row>
    <row r="3" spans="1:16" ht="15.75" x14ac:dyDescent="0.2">
      <c r="A3" s="65" t="s">
        <v>1</v>
      </c>
      <c r="B3" s="61">
        <v>57871</v>
      </c>
      <c r="C3" s="62">
        <v>59054</v>
      </c>
      <c r="D3" s="62">
        <v>64726</v>
      </c>
      <c r="E3" s="63">
        <v>64171</v>
      </c>
      <c r="F3" s="63">
        <v>65958</v>
      </c>
      <c r="G3" s="63">
        <v>67586</v>
      </c>
      <c r="H3" s="63">
        <v>66319</v>
      </c>
      <c r="I3" s="63">
        <v>54852</v>
      </c>
      <c r="J3" s="63">
        <v>56171.787000000004</v>
      </c>
      <c r="K3" s="63">
        <v>63595.529000000002</v>
      </c>
      <c r="L3" s="64">
        <v>61558.654000000002</v>
      </c>
      <c r="M3" s="64">
        <f>'2024'!N6</f>
        <v>64587.901999999995</v>
      </c>
      <c r="N3" s="64">
        <v>61422.786000000007</v>
      </c>
      <c r="O3" s="92"/>
      <c r="P3" s="69"/>
    </row>
    <row r="4" spans="1:16" ht="15" x14ac:dyDescent="0.2">
      <c r="A4" s="66" t="s">
        <v>2</v>
      </c>
      <c r="B4" s="61">
        <v>1965</v>
      </c>
      <c r="C4" s="62">
        <v>1633</v>
      </c>
      <c r="D4" s="62">
        <v>181</v>
      </c>
      <c r="E4" s="63">
        <v>-422</v>
      </c>
      <c r="F4" s="63">
        <v>-733</v>
      </c>
      <c r="G4" s="63">
        <v>-391</v>
      </c>
      <c r="H4" s="63">
        <v>-118</v>
      </c>
      <c r="I4" s="63">
        <v>544</v>
      </c>
      <c r="J4" s="63">
        <v>1778.8929999999973</v>
      </c>
      <c r="K4" s="63">
        <v>-475.32299999999941</v>
      </c>
      <c r="L4" s="64">
        <v>-346.42199999999957</v>
      </c>
      <c r="M4" s="64">
        <f>'2024'!N7</f>
        <v>111.55199999999968</v>
      </c>
      <c r="N4" s="64">
        <v>878.07300000000123</v>
      </c>
      <c r="O4" s="92"/>
      <c r="P4" s="69"/>
    </row>
    <row r="5" spans="1:16" ht="15" x14ac:dyDescent="0.2">
      <c r="A5" s="66" t="s">
        <v>3</v>
      </c>
      <c r="B5" s="61">
        <v>85</v>
      </c>
      <c r="C5" s="62">
        <v>330</v>
      </c>
      <c r="D5" s="62">
        <v>-73</v>
      </c>
      <c r="E5" s="63">
        <v>-676</v>
      </c>
      <c r="F5" s="63">
        <v>40</v>
      </c>
      <c r="G5" s="63">
        <v>-220</v>
      </c>
      <c r="H5" s="63">
        <v>695</v>
      </c>
      <c r="I5" s="63">
        <v>-271</v>
      </c>
      <c r="J5" s="63">
        <v>-744.52100000000007</v>
      </c>
      <c r="K5" s="63">
        <v>202.49099999999999</v>
      </c>
      <c r="L5" s="64">
        <v>-326.49300000000005</v>
      </c>
      <c r="M5" s="64">
        <f>'2024'!N8</f>
        <v>252.315</v>
      </c>
      <c r="N5" s="64">
        <v>-19.886000000000038</v>
      </c>
      <c r="O5" s="92"/>
      <c r="P5" s="69"/>
    </row>
    <row r="6" spans="1:16" ht="15" x14ac:dyDescent="0.2">
      <c r="A6" s="66" t="s">
        <v>4</v>
      </c>
      <c r="B6" s="61">
        <v>-132</v>
      </c>
      <c r="C6" s="62">
        <v>-1</v>
      </c>
      <c r="D6" s="62">
        <v>-62</v>
      </c>
      <c r="E6" s="63">
        <v>193</v>
      </c>
      <c r="F6" s="63">
        <v>-164</v>
      </c>
      <c r="G6" s="63">
        <v>-89</v>
      </c>
      <c r="H6" s="63">
        <v>235</v>
      </c>
      <c r="I6" s="63">
        <v>-395</v>
      </c>
      <c r="J6" s="63">
        <v>-75.290999999999912</v>
      </c>
      <c r="K6" s="63">
        <v>144.61299999999994</v>
      </c>
      <c r="L6" s="64">
        <v>-25.735999999999933</v>
      </c>
      <c r="M6" s="64">
        <f>'2024'!N9</f>
        <v>-28.793000000000035</v>
      </c>
      <c r="N6" s="64">
        <v>274.5449999999999</v>
      </c>
      <c r="O6" s="92"/>
      <c r="P6" s="69"/>
    </row>
    <row r="7" spans="1:16" ht="15" x14ac:dyDescent="0.2">
      <c r="A7" s="66" t="s">
        <v>5</v>
      </c>
      <c r="B7" s="61">
        <v>800</v>
      </c>
      <c r="C7" s="62">
        <v>513</v>
      </c>
      <c r="D7" s="62">
        <v>389</v>
      </c>
      <c r="E7" s="63">
        <v>1323</v>
      </c>
      <c r="F7" s="63">
        <v>1356</v>
      </c>
      <c r="G7" s="63">
        <v>1126</v>
      </c>
      <c r="H7" s="63">
        <v>1244</v>
      </c>
      <c r="I7" s="63">
        <v>525</v>
      </c>
      <c r="J7" s="63">
        <v>271</v>
      </c>
      <c r="K7" s="63">
        <v>1018.2149999999999</v>
      </c>
      <c r="L7" s="64">
        <v>899.87900000000002</v>
      </c>
      <c r="M7" s="64">
        <f>'2024'!N10</f>
        <v>537.47199999999998</v>
      </c>
      <c r="N7" s="64">
        <v>558.0150000000001</v>
      </c>
      <c r="O7" s="92"/>
      <c r="P7" s="69"/>
    </row>
    <row r="8" spans="1:16" ht="15" x14ac:dyDescent="0.2">
      <c r="A8" s="66" t="s">
        <v>6</v>
      </c>
      <c r="B8" s="61">
        <v>12</v>
      </c>
      <c r="C8" s="62">
        <v>7</v>
      </c>
      <c r="D8" s="62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4">
        <v>0</v>
      </c>
      <c r="M8" s="64">
        <f>'2024'!N11</f>
        <v>0</v>
      </c>
      <c r="N8" s="64">
        <v>0</v>
      </c>
      <c r="O8" s="92"/>
      <c r="P8" s="69"/>
    </row>
    <row r="9" spans="1:16" ht="15.75" x14ac:dyDescent="0.2">
      <c r="A9" s="65" t="s">
        <v>7</v>
      </c>
      <c r="B9" s="61">
        <v>61039.340000000004</v>
      </c>
      <c r="C9" s="62">
        <v>61169.411</v>
      </c>
      <c r="D9" s="62">
        <v>65663.244000000006</v>
      </c>
      <c r="E9" s="63">
        <v>65695.89499999999</v>
      </c>
      <c r="F9" s="63">
        <v>66825</v>
      </c>
      <c r="G9" s="63">
        <v>68718</v>
      </c>
      <c r="H9" s="63">
        <v>66555.244999999995</v>
      </c>
      <c r="I9" s="63">
        <v>56614.535999999993</v>
      </c>
      <c r="J9" s="63">
        <v>59047.308000000005</v>
      </c>
      <c r="K9" s="63">
        <v>63792.228999999999</v>
      </c>
      <c r="L9" s="64">
        <v>62465.011999999995</v>
      </c>
      <c r="M9" s="64">
        <f>'2024'!N12</f>
        <v>65014.002999999997</v>
      </c>
      <c r="N9" s="64">
        <v>62605.512999999992</v>
      </c>
      <c r="O9" s="92"/>
      <c r="P9" s="69"/>
    </row>
    <row r="10" spans="1:16" ht="15" x14ac:dyDescent="0.2">
      <c r="A10" s="66" t="s">
        <v>12</v>
      </c>
      <c r="B10" s="61">
        <v>58143</v>
      </c>
      <c r="C10" s="62">
        <v>59022</v>
      </c>
      <c r="D10" s="62">
        <v>65031</v>
      </c>
      <c r="E10" s="63">
        <v>64988</v>
      </c>
      <c r="F10" s="63">
        <v>66038</v>
      </c>
      <c r="G10" s="63">
        <v>67894</v>
      </c>
      <c r="H10" s="63">
        <v>65648</v>
      </c>
      <c r="I10" s="63">
        <v>55153</v>
      </c>
      <c r="J10" s="63">
        <v>56922.123999999996</v>
      </c>
      <c r="K10" s="63">
        <v>63393.94999999999</v>
      </c>
      <c r="L10" s="64">
        <v>61885.819000000003</v>
      </c>
      <c r="M10" s="64">
        <f>'2024'!N13</f>
        <v>64336.185999999994</v>
      </c>
      <c r="N10" s="64">
        <v>61443.969999999987</v>
      </c>
      <c r="O10" s="92"/>
      <c r="P10" s="69"/>
    </row>
    <row r="11" spans="1:16" ht="15" x14ac:dyDescent="0.2">
      <c r="A11" s="66" t="s">
        <v>8</v>
      </c>
      <c r="B11" s="61">
        <v>537.55000000000018</v>
      </c>
      <c r="C11" s="62">
        <v>606.80799999999999</v>
      </c>
      <c r="D11" s="62">
        <v>678.15200000000277</v>
      </c>
      <c r="E11" s="63">
        <v>740.9360000000006</v>
      </c>
      <c r="F11" s="63">
        <v>927.83299999999781</v>
      </c>
      <c r="G11" s="63">
        <v>848.35799999999654</v>
      </c>
      <c r="H11" s="63">
        <v>1042.3570000000036</v>
      </c>
      <c r="I11" s="63">
        <v>807.31799999999839</v>
      </c>
      <c r="J11" s="63">
        <v>870.51200000000154</v>
      </c>
      <c r="K11" s="63">
        <v>1664.4920000000029</v>
      </c>
      <c r="L11" s="64">
        <v>991.699999999998</v>
      </c>
      <c r="M11" s="64">
        <f>'2024'!N14</f>
        <v>1608.0269999999955</v>
      </c>
      <c r="N11" s="64">
        <v>1052.6549999999979</v>
      </c>
      <c r="O11" s="92"/>
      <c r="P11" s="70"/>
    </row>
    <row r="12" spans="1:16" ht="15.75" x14ac:dyDescent="0.2">
      <c r="A12" s="65" t="s">
        <v>9</v>
      </c>
      <c r="B12" s="61">
        <v>60501.79</v>
      </c>
      <c r="C12" s="62">
        <v>60562.602999999988</v>
      </c>
      <c r="D12" s="62">
        <v>64983.195999999996</v>
      </c>
      <c r="E12" s="63">
        <v>64955.064000000006</v>
      </c>
      <c r="F12" s="63">
        <v>65897.167000000001</v>
      </c>
      <c r="G12" s="63">
        <v>67869.641999999993</v>
      </c>
      <c r="H12" s="63">
        <v>65512.642999999996</v>
      </c>
      <c r="I12" s="63">
        <v>55806.682000000001</v>
      </c>
      <c r="J12" s="63">
        <v>58176.796000000002</v>
      </c>
      <c r="K12" s="63">
        <v>62127.737000000001</v>
      </c>
      <c r="L12" s="64">
        <v>61473.311999999991</v>
      </c>
      <c r="M12" s="64">
        <f>'2024'!N15</f>
        <v>63405.976000000002</v>
      </c>
      <c r="N12" s="64">
        <v>61552.858000000007</v>
      </c>
      <c r="O12" s="92"/>
      <c r="P12" s="69"/>
    </row>
    <row r="13" spans="1:16" ht="15" x14ac:dyDescent="0.2">
      <c r="A13" s="67" t="s">
        <v>14</v>
      </c>
      <c r="B13" s="61">
        <v>1879.5739999999998</v>
      </c>
      <c r="C13" s="62">
        <v>1955.3679999999999</v>
      </c>
      <c r="D13" s="62">
        <v>2363.9790000000003</v>
      </c>
      <c r="E13" s="63">
        <v>2365.8740000000003</v>
      </c>
      <c r="F13" s="63">
        <v>2346.299</v>
      </c>
      <c r="G13" s="63">
        <v>2236.3780000000002</v>
      </c>
      <c r="H13" s="63">
        <v>2113.3359999999998</v>
      </c>
      <c r="I13" s="63">
        <v>1907.335</v>
      </c>
      <c r="J13" s="63">
        <v>1952.643</v>
      </c>
      <c r="K13" s="63">
        <v>2704.739</v>
      </c>
      <c r="L13" s="64">
        <v>2094.491</v>
      </c>
      <c r="M13" s="64">
        <f>'2024'!N16</f>
        <v>2051.183</v>
      </c>
      <c r="N13" s="64">
        <v>2139.5040000000004</v>
      </c>
      <c r="O13" s="92"/>
      <c r="P13" s="69"/>
    </row>
    <row r="14" spans="1:16" ht="15" x14ac:dyDescent="0.2">
      <c r="A14" s="67" t="s">
        <v>15</v>
      </c>
      <c r="B14" s="61">
        <v>0</v>
      </c>
      <c r="C14" s="62">
        <v>0</v>
      </c>
      <c r="D14" s="62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4">
        <v>0</v>
      </c>
      <c r="M14" s="64">
        <f>'2024'!N17</f>
        <v>0</v>
      </c>
      <c r="N14" s="64">
        <v>0</v>
      </c>
      <c r="O14" s="92"/>
      <c r="P14" s="69"/>
    </row>
    <row r="15" spans="1:16" ht="15" x14ac:dyDescent="0.2">
      <c r="A15" s="67" t="s">
        <v>16</v>
      </c>
      <c r="B15" s="61">
        <v>1144.5999999999999</v>
      </c>
      <c r="C15" s="62">
        <v>1112.5830000000001</v>
      </c>
      <c r="D15" s="62">
        <v>1173.1079999999999</v>
      </c>
      <c r="E15" s="63">
        <v>1178.07</v>
      </c>
      <c r="F15" s="63">
        <v>1152.7330000000002</v>
      </c>
      <c r="G15" s="63">
        <v>1103.134</v>
      </c>
      <c r="H15" s="63">
        <v>958.995</v>
      </c>
      <c r="I15" s="63">
        <v>854.30399999999997</v>
      </c>
      <c r="J15" s="63">
        <v>1071.2329999999999</v>
      </c>
      <c r="K15" s="63">
        <v>1100.6819999999998</v>
      </c>
      <c r="L15" s="64">
        <v>1055.7279999999998</v>
      </c>
      <c r="M15" s="64">
        <f>'2024'!N18</f>
        <v>1114.037</v>
      </c>
      <c r="N15" s="64">
        <v>1078.8699999999999</v>
      </c>
      <c r="O15" s="92"/>
      <c r="P15" s="69"/>
    </row>
    <row r="16" spans="1:16" ht="15" x14ac:dyDescent="0.2">
      <c r="A16" s="67" t="s">
        <v>17</v>
      </c>
      <c r="B16" s="61">
        <v>567.88700000000006</v>
      </c>
      <c r="C16" s="62">
        <v>462.25600000000003</v>
      </c>
      <c r="D16" s="62">
        <v>525.89199999999994</v>
      </c>
      <c r="E16" s="63">
        <v>362.93</v>
      </c>
      <c r="F16" s="63">
        <v>248.26700000000002</v>
      </c>
      <c r="G16" s="63">
        <v>207.77599999999998</v>
      </c>
      <c r="H16" s="63">
        <v>208.005</v>
      </c>
      <c r="I16" s="63">
        <v>65.696000000000026</v>
      </c>
      <c r="J16" s="63">
        <v>168.73700000000002</v>
      </c>
      <c r="K16" s="63">
        <v>34.631</v>
      </c>
      <c r="L16" s="64">
        <v>138.84900000000005</v>
      </c>
      <c r="M16" s="64">
        <f>'2024'!N19</f>
        <v>138.755</v>
      </c>
      <c r="N16" s="64">
        <v>177.26800000000003</v>
      </c>
      <c r="O16" s="92"/>
      <c r="P16" s="69"/>
    </row>
    <row r="17" spans="1:16" ht="15" x14ac:dyDescent="0.2">
      <c r="A17" s="67" t="s">
        <v>18</v>
      </c>
      <c r="B17" s="61">
        <v>345.08400000000006</v>
      </c>
      <c r="C17" s="62">
        <v>303.50700000000001</v>
      </c>
      <c r="D17" s="62">
        <v>1240</v>
      </c>
      <c r="E17" s="63">
        <v>1194</v>
      </c>
      <c r="F17" s="63">
        <v>1368</v>
      </c>
      <c r="G17" s="63">
        <v>1756</v>
      </c>
      <c r="H17" s="63">
        <v>1438</v>
      </c>
      <c r="I17" s="63">
        <v>1309</v>
      </c>
      <c r="J17" s="63">
        <v>1443.748</v>
      </c>
      <c r="K17" s="63">
        <v>1678.6889999999999</v>
      </c>
      <c r="L17" s="64">
        <v>1641.7580000000003</v>
      </c>
      <c r="M17" s="64">
        <f>'2024'!N20</f>
        <v>1729.239</v>
      </c>
      <c r="N17" s="64">
        <v>1501.35</v>
      </c>
      <c r="O17" s="92"/>
      <c r="P17" s="69"/>
    </row>
    <row r="18" spans="1:16" ht="15" x14ac:dyDescent="0.2">
      <c r="A18" s="67" t="s">
        <v>19</v>
      </c>
      <c r="B18" s="61">
        <v>0</v>
      </c>
      <c r="C18" s="62">
        <v>0</v>
      </c>
      <c r="D18" s="62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4">
        <v>0</v>
      </c>
      <c r="M18" s="64">
        <f>'2024'!N21</f>
        <v>0</v>
      </c>
      <c r="N18" s="64">
        <v>0</v>
      </c>
      <c r="O18" s="92"/>
      <c r="P18" s="69"/>
    </row>
    <row r="19" spans="1:16" ht="15" x14ac:dyDescent="0.2">
      <c r="A19" s="67" t="s">
        <v>20</v>
      </c>
      <c r="B19" s="61">
        <v>1287.2289999999998</v>
      </c>
      <c r="C19" s="62">
        <v>1309.3149999999998</v>
      </c>
      <c r="D19" s="62">
        <v>1093.296</v>
      </c>
      <c r="E19" s="63">
        <v>1019.001</v>
      </c>
      <c r="F19" s="63">
        <v>878.40499999999986</v>
      </c>
      <c r="G19" s="63">
        <v>1195.105</v>
      </c>
      <c r="H19" s="63">
        <v>1095.317</v>
      </c>
      <c r="I19" s="63">
        <v>1053.1750000000002</v>
      </c>
      <c r="J19" s="63">
        <v>1186.8810000000001</v>
      </c>
      <c r="K19" s="63">
        <v>1211.8000000000002</v>
      </c>
      <c r="L19" s="64">
        <v>945.81700000000001</v>
      </c>
      <c r="M19" s="64">
        <f>'2024'!N22</f>
        <v>1138.0340000000001</v>
      </c>
      <c r="N19" s="64">
        <v>1098.3209999999999</v>
      </c>
      <c r="O19" s="92"/>
      <c r="P19" s="69"/>
    </row>
    <row r="20" spans="1:16" ht="15" x14ac:dyDescent="0.2">
      <c r="A20" s="67" t="s">
        <v>21</v>
      </c>
      <c r="B20" s="61">
        <v>59.605999999999995</v>
      </c>
      <c r="C20" s="62">
        <v>75.36699999999999</v>
      </c>
      <c r="D20" s="62">
        <v>50.234000000000002</v>
      </c>
      <c r="E20" s="63">
        <v>60.134</v>
      </c>
      <c r="F20" s="63">
        <v>71.317000000000007</v>
      </c>
      <c r="G20" s="63">
        <v>61.750000000000007</v>
      </c>
      <c r="H20" s="63">
        <v>77.353999999999999</v>
      </c>
      <c r="I20" s="63">
        <v>58.756999999999998</v>
      </c>
      <c r="J20" s="63">
        <v>55.305999999999997</v>
      </c>
      <c r="K20" s="63">
        <v>66.042999999999992</v>
      </c>
      <c r="L20" s="64">
        <v>97.459000000000003</v>
      </c>
      <c r="M20" s="64">
        <f>'2024'!N23</f>
        <v>95.51900000000002</v>
      </c>
      <c r="N20" s="64">
        <v>107.64299999999999</v>
      </c>
      <c r="O20" s="92"/>
      <c r="P20" s="69"/>
    </row>
    <row r="21" spans="1:16" ht="15" x14ac:dyDescent="0.2">
      <c r="A21" s="67" t="s">
        <v>22</v>
      </c>
      <c r="B21" s="61">
        <v>0</v>
      </c>
      <c r="C21" s="62">
        <v>0</v>
      </c>
      <c r="D21" s="62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4">
        <v>0</v>
      </c>
      <c r="M21" s="64">
        <f>'2024'!N24</f>
        <v>0</v>
      </c>
      <c r="N21" s="64">
        <v>0</v>
      </c>
      <c r="O21" s="92"/>
      <c r="P21" s="69"/>
    </row>
    <row r="22" spans="1:16" ht="15" x14ac:dyDescent="0.2">
      <c r="A22" s="67" t="s">
        <v>23</v>
      </c>
      <c r="B22" s="61">
        <v>6124.0770000000002</v>
      </c>
      <c r="C22" s="62">
        <v>5890.1620000000003</v>
      </c>
      <c r="D22" s="62">
        <v>7961.8929999999991</v>
      </c>
      <c r="E22" s="63">
        <v>8475.8809999999994</v>
      </c>
      <c r="F22" s="63">
        <v>8150.8120000000008</v>
      </c>
      <c r="G22" s="63">
        <v>7954.1570000000011</v>
      </c>
      <c r="H22" s="63">
        <v>7914.9160000000002</v>
      </c>
      <c r="I22" s="63">
        <v>6711.4719999999998</v>
      </c>
      <c r="J22" s="63">
        <v>8425.6710000000003</v>
      </c>
      <c r="K22" s="63">
        <v>8600.77</v>
      </c>
      <c r="L22" s="64">
        <v>8649.3249999999989</v>
      </c>
      <c r="M22" s="64">
        <f>'2024'!N25</f>
        <v>8527.4339999999993</v>
      </c>
      <c r="N22" s="64">
        <v>8427.5649999999987</v>
      </c>
      <c r="O22" s="92"/>
      <c r="P22" s="69"/>
    </row>
    <row r="23" spans="1:16" ht="15" x14ac:dyDescent="0.2">
      <c r="A23" s="67" t="s">
        <v>24</v>
      </c>
      <c r="B23" s="61">
        <v>0</v>
      </c>
      <c r="C23" s="62">
        <v>0</v>
      </c>
      <c r="D23" s="62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4">
        <v>0</v>
      </c>
      <c r="M23" s="64">
        <f>'2024'!N26</f>
        <v>0</v>
      </c>
      <c r="N23" s="64">
        <v>0</v>
      </c>
      <c r="O23" s="92"/>
      <c r="P23" s="69"/>
    </row>
    <row r="24" spans="1:16" ht="15" x14ac:dyDescent="0.2">
      <c r="A24" s="67" t="s">
        <v>25</v>
      </c>
      <c r="B24" s="61">
        <v>0</v>
      </c>
      <c r="C24" s="62">
        <v>0</v>
      </c>
      <c r="D24" s="62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4">
        <v>0</v>
      </c>
      <c r="M24" s="64">
        <f>'2024'!N27</f>
        <v>0</v>
      </c>
      <c r="N24" s="64">
        <v>0</v>
      </c>
      <c r="O24" s="92"/>
      <c r="P24" s="69"/>
    </row>
    <row r="25" spans="1:16" ht="15" x14ac:dyDescent="0.2">
      <c r="A25" s="67" t="s">
        <v>26</v>
      </c>
      <c r="B25" s="61">
        <v>148.95000000000002</v>
      </c>
      <c r="C25" s="62">
        <v>197.20900000000003</v>
      </c>
      <c r="D25" s="62">
        <v>225.935</v>
      </c>
      <c r="E25" s="63">
        <v>213.608</v>
      </c>
      <c r="F25" s="63">
        <v>188.614</v>
      </c>
      <c r="G25" s="63">
        <v>380.85499999999996</v>
      </c>
      <c r="H25" s="63">
        <v>454.21</v>
      </c>
      <c r="I25" s="63">
        <v>155.31899999999996</v>
      </c>
      <c r="J25" s="63">
        <v>315.61900000000003</v>
      </c>
      <c r="K25" s="63">
        <v>427.49299999999994</v>
      </c>
      <c r="L25" s="64">
        <v>398.375</v>
      </c>
      <c r="M25" s="64">
        <f>'2024'!N28</f>
        <v>535.59599999999989</v>
      </c>
      <c r="N25" s="64">
        <v>485.91200000000003</v>
      </c>
      <c r="O25" s="92"/>
      <c r="P25" s="69"/>
    </row>
    <row r="26" spans="1:16" ht="15" x14ac:dyDescent="0.2">
      <c r="A26" s="67" t="s">
        <v>27</v>
      </c>
      <c r="B26" s="61">
        <v>2.2000000000000002E-2</v>
      </c>
      <c r="C26" s="62">
        <v>3.0000000000000002E-2</v>
      </c>
      <c r="D26" s="62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4">
        <v>0</v>
      </c>
      <c r="M26" s="64">
        <f>'2024'!N29</f>
        <v>0</v>
      </c>
      <c r="N26" s="64">
        <v>0</v>
      </c>
      <c r="O26" s="92"/>
      <c r="P26" s="69"/>
    </row>
    <row r="27" spans="1:16" ht="15" x14ac:dyDescent="0.2">
      <c r="A27" s="67" t="s">
        <v>28</v>
      </c>
      <c r="B27" s="61">
        <v>8477.628999999999</v>
      </c>
      <c r="C27" s="62">
        <v>8678.8389999999999</v>
      </c>
      <c r="D27" s="62">
        <v>9285.3820000000014</v>
      </c>
      <c r="E27" s="63">
        <v>8672.6139999999996</v>
      </c>
      <c r="F27" s="63">
        <v>9300.3379999999997</v>
      </c>
      <c r="G27" s="63">
        <v>10038.733</v>
      </c>
      <c r="H27" s="63">
        <v>9816.6459999999988</v>
      </c>
      <c r="I27" s="63">
        <v>7838.5070000000005</v>
      </c>
      <c r="J27" s="63">
        <v>8378.6840000000011</v>
      </c>
      <c r="K27" s="63">
        <v>9153.7040000000015</v>
      </c>
      <c r="L27" s="64">
        <v>9387.0400000000009</v>
      </c>
      <c r="M27" s="64">
        <f>'2024'!N30</f>
        <v>9841.1860000000015</v>
      </c>
      <c r="N27" s="64">
        <v>9377.8389999999999</v>
      </c>
      <c r="O27" s="92"/>
      <c r="P27" s="69"/>
    </row>
    <row r="28" spans="1:16" ht="15" x14ac:dyDescent="0.2">
      <c r="A28" s="67" t="s">
        <v>29</v>
      </c>
      <c r="B28" s="61">
        <v>3.0000000000000001E-3</v>
      </c>
      <c r="C28" s="62">
        <v>5.0000000000000001E-3</v>
      </c>
      <c r="D28" s="62">
        <v>0</v>
      </c>
      <c r="E28" s="63">
        <v>0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4">
        <v>0</v>
      </c>
      <c r="M28" s="64">
        <f>'2024'!N31</f>
        <v>0</v>
      </c>
      <c r="N28" s="64">
        <v>0</v>
      </c>
      <c r="O28" s="92"/>
      <c r="P28" s="69"/>
    </row>
    <row r="29" spans="1:16" ht="15" x14ac:dyDescent="0.2">
      <c r="A29" s="67" t="s">
        <v>30</v>
      </c>
      <c r="B29" s="61">
        <v>2436.9259999999999</v>
      </c>
      <c r="C29" s="62">
        <v>2208.1949999999997</v>
      </c>
      <c r="D29" s="62">
        <v>1983.4960000000001</v>
      </c>
      <c r="E29" s="63">
        <v>2904.6060000000007</v>
      </c>
      <c r="F29" s="63">
        <v>2956.1630000000005</v>
      </c>
      <c r="G29" s="63">
        <v>3166.7429999999995</v>
      </c>
      <c r="H29" s="63">
        <v>3181.0829999999996</v>
      </c>
      <c r="I29" s="63">
        <v>3224.8609999999999</v>
      </c>
      <c r="J29" s="63">
        <v>3061.7809999999999</v>
      </c>
      <c r="K29" s="63">
        <v>2962.4490000000001</v>
      </c>
      <c r="L29" s="64">
        <v>2479.116</v>
      </c>
      <c r="M29" s="64">
        <f>'2024'!N32</f>
        <v>2943.8580000000002</v>
      </c>
      <c r="N29" s="64">
        <v>3080.652</v>
      </c>
      <c r="O29" s="92"/>
      <c r="P29" s="70"/>
    </row>
    <row r="30" spans="1:16" ht="15" x14ac:dyDescent="0.2">
      <c r="A30" s="67" t="s">
        <v>31</v>
      </c>
      <c r="B30" s="61">
        <v>410.09999999999997</v>
      </c>
      <c r="C30" s="62">
        <v>329.80400000000003</v>
      </c>
      <c r="D30" s="62">
        <v>249.31899999999999</v>
      </c>
      <c r="E30" s="63">
        <v>268.18200000000002</v>
      </c>
      <c r="F30" s="63">
        <v>313.66699999999997</v>
      </c>
      <c r="G30" s="63">
        <v>332.56800000000004</v>
      </c>
      <c r="H30" s="63">
        <v>282.54199999999997</v>
      </c>
      <c r="I30" s="63">
        <v>379.303</v>
      </c>
      <c r="J30" s="63">
        <v>377.07799999999992</v>
      </c>
      <c r="K30" s="63">
        <v>404.28500000000003</v>
      </c>
      <c r="L30" s="64">
        <v>270.95500000000004</v>
      </c>
      <c r="M30" s="64">
        <f>'2024'!N33</f>
        <v>365.98799999999989</v>
      </c>
      <c r="N30" s="64">
        <v>339.786</v>
      </c>
      <c r="O30" s="92"/>
      <c r="P30" s="69"/>
    </row>
    <row r="31" spans="1:16" ht="15" x14ac:dyDescent="0.2">
      <c r="A31" s="67" t="s">
        <v>32</v>
      </c>
      <c r="B31" s="61">
        <v>24.143999999999998</v>
      </c>
      <c r="C31" s="62">
        <v>221.791</v>
      </c>
      <c r="D31" s="62">
        <v>122.66900000000001</v>
      </c>
      <c r="E31" s="63">
        <v>84.996999999999986</v>
      </c>
      <c r="F31" s="63">
        <v>121.81199999999998</v>
      </c>
      <c r="G31" s="63">
        <v>53.104000000000006</v>
      </c>
      <c r="H31" s="63">
        <v>75.085000000000008</v>
      </c>
      <c r="I31" s="63">
        <v>63.033000000000001</v>
      </c>
      <c r="J31" s="63">
        <v>44.867999999999995</v>
      </c>
      <c r="K31" s="63">
        <v>49.397000000000006</v>
      </c>
      <c r="L31" s="64">
        <v>92.393000000000001</v>
      </c>
      <c r="M31" s="64">
        <f>'2024'!N34</f>
        <v>111.916</v>
      </c>
      <c r="N31" s="64">
        <v>107.73699999999999</v>
      </c>
      <c r="O31" s="92"/>
      <c r="P31" s="69"/>
    </row>
    <row r="32" spans="1:16" ht="15" x14ac:dyDescent="0.2">
      <c r="A32" s="67" t="s">
        <v>33</v>
      </c>
      <c r="B32" s="61">
        <v>13.891999999999999</v>
      </c>
      <c r="C32" s="62">
        <v>352.39799999999997</v>
      </c>
      <c r="D32" s="62">
        <v>634.03700000000003</v>
      </c>
      <c r="E32" s="63">
        <v>530.70800000000008</v>
      </c>
      <c r="F32" s="63">
        <v>377.63900000000001</v>
      </c>
      <c r="G32" s="63">
        <v>782.8570000000002</v>
      </c>
      <c r="H32" s="63">
        <v>745.18700000000001</v>
      </c>
      <c r="I32" s="63">
        <v>889.81500000000005</v>
      </c>
      <c r="J32" s="63">
        <v>898.79899999999998</v>
      </c>
      <c r="K32" s="63">
        <v>894.15199999999982</v>
      </c>
      <c r="L32" s="64">
        <v>664.36899999999991</v>
      </c>
      <c r="M32" s="64">
        <f>'2024'!N35</f>
        <v>661.39700000000005</v>
      </c>
      <c r="N32" s="64">
        <v>915.2349999999999</v>
      </c>
      <c r="O32" s="92"/>
      <c r="P32" s="69"/>
    </row>
    <row r="33" spans="1:16" ht="15" x14ac:dyDescent="0.2">
      <c r="A33" s="67" t="s">
        <v>34</v>
      </c>
      <c r="B33" s="61">
        <v>0.30299999999999999</v>
      </c>
      <c r="C33" s="62">
        <v>0.17100000000000001</v>
      </c>
      <c r="D33" s="62">
        <v>0</v>
      </c>
      <c r="E33" s="63">
        <v>0</v>
      </c>
      <c r="F33" s="63">
        <v>0</v>
      </c>
      <c r="G33" s="63">
        <v>0</v>
      </c>
      <c r="H33" s="63">
        <v>0</v>
      </c>
      <c r="I33" s="63">
        <v>0</v>
      </c>
      <c r="J33" s="63">
        <v>0</v>
      </c>
      <c r="K33" s="63">
        <v>0</v>
      </c>
      <c r="L33" s="64">
        <v>0</v>
      </c>
      <c r="M33" s="64">
        <f>'2024'!N36</f>
        <v>0</v>
      </c>
      <c r="N33" s="64">
        <v>0</v>
      </c>
      <c r="O33" s="92"/>
      <c r="P33" s="69"/>
    </row>
    <row r="34" spans="1:16" ht="15" x14ac:dyDescent="0.2">
      <c r="A34" s="67" t="s">
        <v>35</v>
      </c>
      <c r="B34" s="61">
        <v>23759.561000000002</v>
      </c>
      <c r="C34" s="62">
        <v>23998.255999999994</v>
      </c>
      <c r="D34" s="62">
        <v>24477.329000000005</v>
      </c>
      <c r="E34" s="63">
        <v>22853.851999999999</v>
      </c>
      <c r="F34" s="63">
        <v>23356.296000000002</v>
      </c>
      <c r="G34" s="63">
        <v>22827.504000000001</v>
      </c>
      <c r="H34" s="63">
        <v>22851.345999999998</v>
      </c>
      <c r="I34" s="63">
        <v>19692.742000000002</v>
      </c>
      <c r="J34" s="63">
        <v>19803.856</v>
      </c>
      <c r="K34" s="63">
        <v>21713.006999999998</v>
      </c>
      <c r="L34" s="64">
        <v>22082.314000000002</v>
      </c>
      <c r="M34" s="64">
        <f>'2024'!N37</f>
        <v>21056.342000000001</v>
      </c>
      <c r="N34" s="64">
        <v>20511.314000000002</v>
      </c>
      <c r="O34" s="92"/>
      <c r="P34" s="70"/>
    </row>
    <row r="35" spans="1:16" ht="15" x14ac:dyDescent="0.2">
      <c r="A35" s="67" t="s">
        <v>36</v>
      </c>
      <c r="B35" s="61">
        <v>138.06799999999998</v>
      </c>
      <c r="C35" s="62">
        <v>273.51499999999999</v>
      </c>
      <c r="D35" s="62">
        <v>19.149999999999999</v>
      </c>
      <c r="E35" s="63">
        <v>64.655000000000001</v>
      </c>
      <c r="F35" s="63">
        <v>146.423</v>
      </c>
      <c r="G35" s="63">
        <v>273.22399999999999</v>
      </c>
      <c r="H35" s="63">
        <v>161.75699999999998</v>
      </c>
      <c r="I35" s="63">
        <v>124.24600000000001</v>
      </c>
      <c r="J35" s="63">
        <v>120.07700000000001</v>
      </c>
      <c r="K35" s="63">
        <v>131.208</v>
      </c>
      <c r="L35" s="64">
        <v>142.107</v>
      </c>
      <c r="M35" s="64">
        <f>'2024'!N38</f>
        <v>320.53299999999996</v>
      </c>
      <c r="N35" s="64">
        <v>347.86200000000002</v>
      </c>
      <c r="O35" s="92"/>
      <c r="P35" s="70"/>
    </row>
    <row r="36" spans="1:16" ht="15" x14ac:dyDescent="0.2">
      <c r="A36" s="67" t="s">
        <v>37</v>
      </c>
      <c r="B36" s="61">
        <v>3.0000000000000001E-3</v>
      </c>
      <c r="C36" s="62">
        <v>0</v>
      </c>
      <c r="D36" s="62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>
        <v>0</v>
      </c>
      <c r="L36" s="64">
        <v>0</v>
      </c>
      <c r="M36" s="64">
        <f>'2024'!N39</f>
        <v>0</v>
      </c>
      <c r="N36" s="64">
        <v>0</v>
      </c>
      <c r="O36" s="92"/>
      <c r="P36" s="69"/>
    </row>
    <row r="37" spans="1:16" ht="15" x14ac:dyDescent="0.2">
      <c r="A37" s="67" t="s">
        <v>38</v>
      </c>
      <c r="B37" s="61">
        <v>97.96</v>
      </c>
      <c r="C37" s="62">
        <v>43.962000000000003</v>
      </c>
      <c r="D37" s="62">
        <v>0</v>
      </c>
      <c r="E37" s="63">
        <v>1.0999999999999999E-2</v>
      </c>
      <c r="F37" s="63">
        <v>2.1000000000000001E-2</v>
      </c>
      <c r="G37" s="63">
        <v>1.9E-2</v>
      </c>
      <c r="H37" s="63">
        <v>3.6999999999999998E-2</v>
      </c>
      <c r="I37" s="63">
        <v>0</v>
      </c>
      <c r="J37" s="63">
        <v>1.4999999999999999E-2</v>
      </c>
      <c r="K37" s="63">
        <v>0</v>
      </c>
      <c r="L37" s="64">
        <v>1E-3</v>
      </c>
      <c r="M37" s="64">
        <f>'2024'!N40</f>
        <v>2E-3</v>
      </c>
      <c r="N37" s="64">
        <v>2.1000000000000001E-2</v>
      </c>
      <c r="O37" s="92"/>
      <c r="P37" s="69"/>
    </row>
    <row r="38" spans="1:16" ht="15" x14ac:dyDescent="0.2">
      <c r="A38" s="67" t="s">
        <v>39</v>
      </c>
      <c r="B38" s="61">
        <v>10.284000000000001</v>
      </c>
      <c r="C38" s="62">
        <v>50.414000000000001</v>
      </c>
      <c r="D38" s="62">
        <v>36.086000000000006</v>
      </c>
      <c r="E38" s="63">
        <v>6.875</v>
      </c>
      <c r="F38" s="63">
        <v>39.305</v>
      </c>
      <c r="G38" s="63">
        <v>70.665000000000006</v>
      </c>
      <c r="H38" s="63">
        <v>23.421000000000003</v>
      </c>
      <c r="I38" s="63">
        <v>75.243999999999986</v>
      </c>
      <c r="J38" s="63">
        <v>74.864000000000004</v>
      </c>
      <c r="K38" s="63">
        <v>0.97200000000000031</v>
      </c>
      <c r="L38" s="64">
        <v>5.0659999999999998</v>
      </c>
      <c r="M38" s="64">
        <f>'2024'!N41</f>
        <v>5.8289999999999997</v>
      </c>
      <c r="N38" s="64">
        <v>0.58799999999999997</v>
      </c>
      <c r="O38" s="92"/>
      <c r="P38" s="69"/>
    </row>
    <row r="39" spans="1:16" ht="15" x14ac:dyDescent="0.2">
      <c r="A39" s="67" t="s">
        <v>57</v>
      </c>
      <c r="B39" s="61">
        <v>262.62299999999999</v>
      </c>
      <c r="C39" s="62">
        <v>156.21599999999998</v>
      </c>
      <c r="D39" s="62">
        <v>4.4409999999999998</v>
      </c>
      <c r="E39" s="63">
        <v>5.1980000000000004</v>
      </c>
      <c r="F39" s="63">
        <v>1.8049999999999997</v>
      </c>
      <c r="G39" s="63">
        <v>0</v>
      </c>
      <c r="H39" s="63">
        <v>0</v>
      </c>
      <c r="I39" s="63">
        <v>0</v>
      </c>
      <c r="J39" s="63">
        <v>0</v>
      </c>
      <c r="K39" s="63">
        <v>7.0000000000000001E-3</v>
      </c>
      <c r="L39" s="64">
        <v>3.0000000000000001E-3</v>
      </c>
      <c r="M39" s="64">
        <f>'2024'!N42</f>
        <v>0</v>
      </c>
      <c r="N39" s="64">
        <v>29.7</v>
      </c>
      <c r="O39" s="92"/>
      <c r="P39" s="69"/>
    </row>
    <row r="40" spans="1:16" ht="15" x14ac:dyDescent="0.2">
      <c r="A40" s="67" t="s">
        <v>40</v>
      </c>
      <c r="B40" s="61">
        <v>4925.3550000000005</v>
      </c>
      <c r="C40" s="62">
        <v>4231.1399999999994</v>
      </c>
      <c r="D40" s="62">
        <v>3943.2400000000002</v>
      </c>
      <c r="E40" s="63">
        <v>5097.1839999999993</v>
      </c>
      <c r="F40" s="63">
        <v>5491.2370000000001</v>
      </c>
      <c r="G40" s="63">
        <v>5929.7330000000002</v>
      </c>
      <c r="H40" s="63">
        <v>5032.235999999999</v>
      </c>
      <c r="I40" s="63">
        <v>2367.299</v>
      </c>
      <c r="J40" s="63">
        <v>2569.741</v>
      </c>
      <c r="K40" s="63">
        <v>3641.92</v>
      </c>
      <c r="L40" s="64">
        <v>3941.1609999999996</v>
      </c>
      <c r="M40" s="64">
        <f>'2024'!N43</f>
        <v>4651.2349999999988</v>
      </c>
      <c r="N40" s="64">
        <v>3790.4009999999998</v>
      </c>
      <c r="O40" s="92"/>
      <c r="P40" s="70"/>
    </row>
    <row r="41" spans="1:16" ht="15" x14ac:dyDescent="0.2">
      <c r="A41" s="67" t="s">
        <v>41</v>
      </c>
      <c r="B41" s="61">
        <v>190.64699999999996</v>
      </c>
      <c r="C41" s="62">
        <v>336.96300000000008</v>
      </c>
      <c r="D41" s="62">
        <v>396.09100000000001</v>
      </c>
      <c r="E41" s="63">
        <v>408.81400000000002</v>
      </c>
      <c r="F41" s="63">
        <v>399.22699999999998</v>
      </c>
      <c r="G41" s="63">
        <v>414.57400000000001</v>
      </c>
      <c r="H41" s="63">
        <v>354.22500000000002</v>
      </c>
      <c r="I41" s="63">
        <v>316.589</v>
      </c>
      <c r="J41" s="63">
        <v>307.51099999999997</v>
      </c>
      <c r="K41" s="63">
        <v>341.11200000000002</v>
      </c>
      <c r="L41" s="64">
        <v>310.36</v>
      </c>
      <c r="M41" s="64">
        <f>'2024'!N44</f>
        <v>280.16399999999999</v>
      </c>
      <c r="N41" s="64">
        <v>286.56900000000002</v>
      </c>
      <c r="O41" s="92"/>
      <c r="P41" s="69"/>
    </row>
    <row r="42" spans="1:16" ht="15" x14ac:dyDescent="0.2">
      <c r="A42" s="67" t="s">
        <v>42</v>
      </c>
      <c r="B42" s="61">
        <v>2073.8830000000003</v>
      </c>
      <c r="C42" s="62">
        <v>1917.2549999999997</v>
      </c>
      <c r="D42" s="62">
        <v>2491.1219999999998</v>
      </c>
      <c r="E42" s="63">
        <v>2471.4650000000001</v>
      </c>
      <c r="F42" s="63">
        <v>2482.5739999999996</v>
      </c>
      <c r="G42" s="63">
        <v>2629.5830000000001</v>
      </c>
      <c r="H42" s="63">
        <v>2372.59</v>
      </c>
      <c r="I42" s="63">
        <v>1907.655</v>
      </c>
      <c r="J42" s="63">
        <v>2191.232</v>
      </c>
      <c r="K42" s="63">
        <v>1715.5740000000001</v>
      </c>
      <c r="L42" s="64">
        <v>1822.5049999999999</v>
      </c>
      <c r="M42" s="64">
        <f>'2024'!N45</f>
        <v>1869.1480000000001</v>
      </c>
      <c r="N42" s="64">
        <v>1661.4799999999998</v>
      </c>
      <c r="O42" s="92"/>
      <c r="P42" s="69"/>
    </row>
    <row r="43" spans="1:16" ht="15" x14ac:dyDescent="0.2">
      <c r="A43" s="67" t="s">
        <v>43</v>
      </c>
      <c r="B43" s="61">
        <v>180.18800000000002</v>
      </c>
      <c r="C43" s="62">
        <v>203.84299999999999</v>
      </c>
      <c r="D43" s="62">
        <v>257.37900000000002</v>
      </c>
      <c r="E43" s="63">
        <v>265.14699999999999</v>
      </c>
      <c r="F43" s="63">
        <v>255.05499999999998</v>
      </c>
      <c r="G43" s="63">
        <v>243.16300000000001</v>
      </c>
      <c r="H43" s="63">
        <v>201.55599999999998</v>
      </c>
      <c r="I43" s="63">
        <v>129.38900000000001</v>
      </c>
      <c r="J43" s="63">
        <v>143.95799999999997</v>
      </c>
      <c r="K43" s="63">
        <v>120.07800000000002</v>
      </c>
      <c r="L43" s="64">
        <v>122.27900000000001</v>
      </c>
      <c r="M43" s="64">
        <f>'2024'!N46</f>
        <v>111.245</v>
      </c>
      <c r="N43" s="64">
        <v>117.032</v>
      </c>
      <c r="O43" s="92"/>
      <c r="P43" s="69"/>
    </row>
    <row r="44" spans="1:16" ht="15" x14ac:dyDescent="0.2">
      <c r="A44" s="67" t="s">
        <v>44</v>
      </c>
      <c r="B44" s="61">
        <v>36.271000000000001</v>
      </c>
      <c r="C44" s="62">
        <v>55.038999999999994</v>
      </c>
      <c r="D44" s="62">
        <v>84.269000000000005</v>
      </c>
      <c r="E44" s="63">
        <v>94.957999999999984</v>
      </c>
      <c r="F44" s="63">
        <v>88.320999999999984</v>
      </c>
      <c r="G44" s="63">
        <v>89.766000000000005</v>
      </c>
      <c r="H44" s="63">
        <v>77.551000000000002</v>
      </c>
      <c r="I44" s="63">
        <v>72.461000000000013</v>
      </c>
      <c r="J44" s="63">
        <v>76.009999999999991</v>
      </c>
      <c r="K44" s="63">
        <v>78.824000000000012</v>
      </c>
      <c r="L44" s="64">
        <v>68.566999999999993</v>
      </c>
      <c r="M44" s="64">
        <f>'2024'!N47</f>
        <v>69.851000000000013</v>
      </c>
      <c r="N44" s="64">
        <v>69.989999999999995</v>
      </c>
      <c r="O44" s="92"/>
      <c r="P44" s="69"/>
    </row>
    <row r="45" spans="1:16" ht="15" x14ac:dyDescent="0.2">
      <c r="A45" s="67" t="s">
        <v>45</v>
      </c>
      <c r="B45" s="61">
        <v>3436.2899999999995</v>
      </c>
      <c r="C45" s="62">
        <v>3743.6349999999998</v>
      </c>
      <c r="D45" s="62">
        <v>3659.797</v>
      </c>
      <c r="E45" s="63">
        <v>3781.5</v>
      </c>
      <c r="F45" s="63">
        <v>3823.3130000000001</v>
      </c>
      <c r="G45" s="63">
        <v>3802.1469999999995</v>
      </c>
      <c r="H45" s="63">
        <v>3602.9690000000001</v>
      </c>
      <c r="I45" s="63">
        <v>3528.8910000000001</v>
      </c>
      <c r="J45" s="63">
        <v>2887.1469999999995</v>
      </c>
      <c r="K45" s="63">
        <v>3434.0340000000001</v>
      </c>
      <c r="L45" s="64">
        <v>3457.4449999999997</v>
      </c>
      <c r="M45" s="64">
        <f>'2024'!N48</f>
        <v>3505.3779999999997</v>
      </c>
      <c r="N45" s="64">
        <v>3355.8310000000001</v>
      </c>
      <c r="O45" s="92"/>
      <c r="P45" s="69"/>
    </row>
    <row r="46" spans="1:16" ht="15" x14ac:dyDescent="0.2">
      <c r="A46" s="68" t="s">
        <v>52</v>
      </c>
      <c r="B46" s="64">
        <v>2470.631000000004</v>
      </c>
      <c r="C46" s="62">
        <v>2455.3649999999948</v>
      </c>
      <c r="D46" s="62">
        <v>2706.9480000000008</v>
      </c>
      <c r="E46" s="63">
        <v>2574.7999999999961</v>
      </c>
      <c r="F46" s="63">
        <v>2339.5239999999981</v>
      </c>
      <c r="G46" s="63">
        <v>2320.1039999999994</v>
      </c>
      <c r="H46" s="63">
        <v>2474.2789999999995</v>
      </c>
      <c r="I46" s="63">
        <v>3081.5889999999995</v>
      </c>
      <c r="J46" s="63">
        <v>2621.3369999999973</v>
      </c>
      <c r="K46" s="63">
        <v>1662.1669999999949</v>
      </c>
      <c r="L46" s="64">
        <v>1605.8290000000018</v>
      </c>
      <c r="M46" s="64">
        <f>'2024'!N49</f>
        <v>2282.1070000000004</v>
      </c>
      <c r="N46" s="64">
        <v>2544.3880000000004</v>
      </c>
      <c r="O46" s="92"/>
      <c r="P46" s="70"/>
    </row>
    <row r="47" spans="1:16" x14ac:dyDescent="0.2">
      <c r="M47" s="69"/>
    </row>
  </sheetData>
  <pageMargins left="0.70000000000000007" right="0.70000000000000007" top="0.75" bottom="0.75" header="0.30000000000000004" footer="0.30000000000000004"/>
  <pageSetup paperSize="9" scale="6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F44"/>
  <sheetViews>
    <sheetView showGridLines="0" zoomScale="115" zoomScaleNormal="115" workbookViewId="0">
      <selection sqref="A1:R44"/>
    </sheetView>
  </sheetViews>
  <sheetFormatPr baseColWidth="10" defaultRowHeight="14.25" x14ac:dyDescent="0.2"/>
  <cols>
    <col min="1" max="1" width="1.5" customWidth="1"/>
    <col min="19" max="19" width="4.125" customWidth="1"/>
  </cols>
  <sheetData>
    <row r="1" spans="1:32" x14ac:dyDescent="0.2">
      <c r="A1" t="s">
        <v>68</v>
      </c>
    </row>
    <row r="2" spans="1:32" ht="15.75" x14ac:dyDescent="0.25">
      <c r="G2" s="71" t="str">
        <f>"MOVIMIENTO DE CRUDOS Y OBTENCIÓN DE PRODUCTOS PETROLÍFEROS - "&amp;'2026'!$AV$3</f>
        <v>MOVIMIENTO DE CRUDOS Y OBTENCIÓN DE PRODUCTOS PETROLÍFEROS - MAYO 2026</v>
      </c>
    </row>
    <row r="11" spans="1:32" ht="15" x14ac:dyDescent="0.2">
      <c r="W11" s="54"/>
      <c r="X11" s="54"/>
      <c r="Y11" s="54"/>
      <c r="Z11" s="54"/>
      <c r="AA11" s="54"/>
      <c r="AB11" s="54"/>
      <c r="AC11" s="54"/>
      <c r="AD11" s="54"/>
      <c r="AE11" s="54"/>
      <c r="AF11" s="16"/>
    </row>
    <row r="12" spans="1:32" x14ac:dyDescent="0.2">
      <c r="W12" s="34"/>
      <c r="X12" s="47"/>
      <c r="Y12" s="21"/>
      <c r="Z12" s="21"/>
      <c r="AA12" s="21"/>
      <c r="AB12" s="21"/>
      <c r="AC12" s="21"/>
      <c r="AD12" s="21"/>
      <c r="AE12" s="21"/>
      <c r="AF12" s="21"/>
    </row>
    <row r="13" spans="1:32" x14ac:dyDescent="0.2">
      <c r="W13" s="34"/>
      <c r="X13" s="47"/>
      <c r="Y13" s="21"/>
      <c r="Z13" s="21"/>
      <c r="AA13" s="21"/>
      <c r="AB13" s="21"/>
      <c r="AC13" s="21"/>
      <c r="AD13" s="21"/>
      <c r="AE13" s="21"/>
      <c r="AF13" s="21"/>
    </row>
    <row r="14" spans="1:32" x14ac:dyDescent="0.2">
      <c r="W14" s="34"/>
      <c r="X14" s="47"/>
      <c r="Y14" s="21"/>
      <c r="Z14" s="21"/>
      <c r="AA14" s="21"/>
      <c r="AB14" s="21"/>
      <c r="AC14" s="21"/>
      <c r="AD14" s="21"/>
      <c r="AE14" s="21"/>
      <c r="AF14" s="21"/>
    </row>
    <row r="15" spans="1:32" x14ac:dyDescent="0.2">
      <c r="W15" s="34"/>
      <c r="X15" s="47"/>
      <c r="Y15" s="21"/>
      <c r="Z15" s="21"/>
      <c r="AA15" s="21"/>
      <c r="AB15" s="21"/>
      <c r="AC15" s="21"/>
      <c r="AD15" s="21"/>
      <c r="AE15" s="21"/>
      <c r="AF15" s="21"/>
    </row>
    <row r="16" spans="1:32" x14ac:dyDescent="0.2">
      <c r="W16" s="34"/>
      <c r="X16" s="47"/>
      <c r="Y16" s="21"/>
      <c r="Z16" s="21"/>
      <c r="AA16" s="21"/>
      <c r="AB16" s="21"/>
      <c r="AC16" s="21"/>
      <c r="AD16" s="21"/>
      <c r="AE16" s="21"/>
      <c r="AF16" s="21"/>
    </row>
    <row r="17" spans="23:32" x14ac:dyDescent="0.2">
      <c r="W17" s="34"/>
      <c r="X17" s="47"/>
      <c r="Y17" s="21"/>
      <c r="Z17" s="21"/>
      <c r="AA17" s="21"/>
      <c r="AB17" s="21"/>
      <c r="AC17" s="21"/>
      <c r="AD17" s="21"/>
      <c r="AE17" s="21"/>
      <c r="AF17" s="21"/>
    </row>
    <row r="18" spans="23:32" ht="15" x14ac:dyDescent="0.2">
      <c r="W18" s="55"/>
      <c r="X18" s="47"/>
      <c r="Y18" s="21"/>
      <c r="Z18" s="21"/>
      <c r="AA18" s="21"/>
      <c r="AB18" s="21"/>
      <c r="AC18" s="21"/>
      <c r="AD18" s="21"/>
      <c r="AE18" s="21"/>
      <c r="AF18" s="21"/>
    </row>
    <row r="19" spans="23:32" ht="15" x14ac:dyDescent="0.2">
      <c r="W19" s="34"/>
      <c r="X19" s="47"/>
      <c r="Y19" s="56"/>
      <c r="Z19" s="56"/>
      <c r="AA19" s="56"/>
      <c r="AB19" s="56"/>
      <c r="AC19" s="56"/>
      <c r="AD19" s="56"/>
      <c r="AE19" s="56"/>
      <c r="AF19" s="31"/>
    </row>
    <row r="20" spans="23:32" x14ac:dyDescent="0.2">
      <c r="W20" s="34"/>
      <c r="X20" s="47"/>
      <c r="Y20" s="21"/>
      <c r="Z20" s="21"/>
      <c r="AA20" s="21"/>
      <c r="AB20" s="21"/>
      <c r="AC20" s="21"/>
      <c r="AD20" s="21"/>
      <c r="AE20" s="21"/>
      <c r="AF20" s="21"/>
    </row>
    <row r="21" spans="23:32" x14ac:dyDescent="0.2">
      <c r="W21" s="34"/>
      <c r="X21" s="47"/>
      <c r="Y21" s="42"/>
      <c r="Z21" s="42"/>
      <c r="AA21" s="42"/>
      <c r="AB21" s="42"/>
      <c r="AC21" s="42"/>
      <c r="AD21" s="42"/>
      <c r="AE21" s="42"/>
      <c r="AF21" s="21"/>
    </row>
    <row r="22" spans="23:32" x14ac:dyDescent="0.2">
      <c r="W22" s="21"/>
      <c r="X22" s="42"/>
      <c r="Y22" s="42"/>
      <c r="Z22" s="42"/>
      <c r="AA22" s="42"/>
      <c r="AB22" s="42"/>
      <c r="AC22" s="42"/>
      <c r="AD22" s="42"/>
      <c r="AE22" s="42"/>
      <c r="AF22" s="32"/>
    </row>
    <row r="24" spans="23:32" x14ac:dyDescent="0.2">
      <c r="X24" s="38"/>
      <c r="Y24" s="38"/>
      <c r="Z24" s="38"/>
      <c r="AA24" s="38"/>
      <c r="AB24" s="38"/>
      <c r="AC24" s="38"/>
      <c r="AD24" s="38"/>
      <c r="AE24" s="38"/>
    </row>
    <row r="43" ht="12.75" customHeight="1" x14ac:dyDescent="0.2"/>
    <row r="44" ht="24" customHeight="1" x14ac:dyDescent="0.2"/>
  </sheetData>
  <printOptions horizontalCentered="1"/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pageSetUpPr fitToPage="1"/>
  </sheetPr>
  <dimension ref="A1:N49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9" max="11" width="11.5" style="1"/>
    <col min="14" max="14" width="18" customWidth="1"/>
  </cols>
  <sheetData>
    <row r="1" spans="1:14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20.25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4" spans="1:14" s="16" customFormat="1" ht="21" customHeight="1" x14ac:dyDescent="0.2">
      <c r="A4" s="11" t="s">
        <v>13</v>
      </c>
      <c r="B4" s="12">
        <v>40909</v>
      </c>
      <c r="C4" s="13">
        <v>40940</v>
      </c>
      <c r="D4" s="13">
        <v>40969</v>
      </c>
      <c r="E4" s="13">
        <v>41000</v>
      </c>
      <c r="F4" s="13">
        <v>41030</v>
      </c>
      <c r="G4" s="13">
        <v>41061</v>
      </c>
      <c r="H4" s="13">
        <v>41091</v>
      </c>
      <c r="I4" s="14">
        <v>41122</v>
      </c>
      <c r="J4" s="14">
        <v>41153</v>
      </c>
      <c r="K4" s="14">
        <v>41183</v>
      </c>
      <c r="L4" s="13">
        <v>41214</v>
      </c>
      <c r="M4" s="13">
        <v>41244</v>
      </c>
      <c r="N4" s="15" t="s">
        <v>11</v>
      </c>
    </row>
    <row r="5" spans="1:14" s="21" customFormat="1" ht="21" customHeight="1" x14ac:dyDescent="0.2">
      <c r="A5" s="17" t="s">
        <v>0</v>
      </c>
      <c r="B5" s="18">
        <v>8.2149999999999999</v>
      </c>
      <c r="C5" s="19">
        <v>6.5279999999999996</v>
      </c>
      <c r="D5" s="19">
        <v>7.6749999999999998</v>
      </c>
      <c r="E5" s="19">
        <v>7.2869999999999999</v>
      </c>
      <c r="F5" s="19">
        <v>7.45</v>
      </c>
      <c r="G5" s="19">
        <v>7.1260000000000003</v>
      </c>
      <c r="H5" s="19">
        <v>7.0780000000000003</v>
      </c>
      <c r="I5" s="19">
        <v>7.5490000000000004</v>
      </c>
      <c r="J5" s="19">
        <v>4.4850000000000003</v>
      </c>
      <c r="K5" s="19">
        <v>13.215999999999999</v>
      </c>
      <c r="L5" s="19">
        <v>32.247</v>
      </c>
      <c r="M5" s="19">
        <v>33.909999999999997</v>
      </c>
      <c r="N5" s="20">
        <f t="shared" ref="N5:N11" si="0">SUM(B5:M5)</f>
        <v>142.76599999999999</v>
      </c>
    </row>
    <row r="6" spans="1:14" s="21" customFormat="1" ht="21" customHeight="1" x14ac:dyDescent="0.2">
      <c r="A6" s="22" t="s">
        <v>1</v>
      </c>
      <c r="B6" s="23">
        <v>4620</v>
      </c>
      <c r="C6" s="24">
        <v>5200</v>
      </c>
      <c r="D6" s="24">
        <v>4127</v>
      </c>
      <c r="E6" s="24">
        <v>4521</v>
      </c>
      <c r="F6" s="24">
        <v>4159</v>
      </c>
      <c r="G6" s="24">
        <v>4846</v>
      </c>
      <c r="H6" s="24">
        <v>5286</v>
      </c>
      <c r="I6" s="24">
        <v>5440</v>
      </c>
      <c r="J6" s="24">
        <v>5132</v>
      </c>
      <c r="K6" s="24">
        <v>5279</v>
      </c>
      <c r="L6" s="24">
        <v>5189</v>
      </c>
      <c r="M6" s="24">
        <v>4898</v>
      </c>
      <c r="N6" s="25">
        <f>SUM(B6:M6)</f>
        <v>58697</v>
      </c>
    </row>
    <row r="7" spans="1:14" s="21" customFormat="1" ht="21" customHeight="1" x14ac:dyDescent="0.2">
      <c r="A7" s="26" t="s">
        <v>2</v>
      </c>
      <c r="B7" s="27">
        <v>104</v>
      </c>
      <c r="C7" s="28">
        <v>-45</v>
      </c>
      <c r="D7" s="28">
        <v>29</v>
      </c>
      <c r="E7" s="28">
        <v>120</v>
      </c>
      <c r="F7" s="28">
        <v>199</v>
      </c>
      <c r="G7" s="28">
        <v>9</v>
      </c>
      <c r="H7" s="28">
        <v>185</v>
      </c>
      <c r="I7" s="28">
        <v>467</v>
      </c>
      <c r="J7" s="28">
        <v>-35</v>
      </c>
      <c r="K7" s="28">
        <v>-137</v>
      </c>
      <c r="L7" s="28">
        <v>144</v>
      </c>
      <c r="M7" s="28">
        <v>87</v>
      </c>
      <c r="N7" s="29">
        <f t="shared" si="0"/>
        <v>1127</v>
      </c>
    </row>
    <row r="8" spans="1:14" s="21" customFormat="1" ht="21" customHeight="1" x14ac:dyDescent="0.2">
      <c r="A8" s="26" t="s">
        <v>3</v>
      </c>
      <c r="B8" s="27">
        <v>6</v>
      </c>
      <c r="C8" s="28">
        <v>642</v>
      </c>
      <c r="D8" s="28">
        <v>-469</v>
      </c>
      <c r="E8" s="28">
        <v>221</v>
      </c>
      <c r="F8" s="28">
        <v>-129</v>
      </c>
      <c r="G8" s="28">
        <v>307</v>
      </c>
      <c r="H8" s="28">
        <v>-331</v>
      </c>
      <c r="I8" s="28">
        <v>128</v>
      </c>
      <c r="J8" s="28">
        <v>-18</v>
      </c>
      <c r="K8" s="28">
        <v>-367</v>
      </c>
      <c r="L8" s="28">
        <v>80</v>
      </c>
      <c r="M8" s="28">
        <v>-366</v>
      </c>
      <c r="N8" s="29">
        <f t="shared" si="0"/>
        <v>-296</v>
      </c>
    </row>
    <row r="9" spans="1:14" s="21" customFormat="1" ht="21" customHeight="1" x14ac:dyDescent="0.2">
      <c r="A9" s="26" t="s">
        <v>4</v>
      </c>
      <c r="B9" s="27">
        <v>10</v>
      </c>
      <c r="C9" s="28">
        <v>-90</v>
      </c>
      <c r="D9" s="28">
        <v>64</v>
      </c>
      <c r="E9" s="28">
        <v>-49</v>
      </c>
      <c r="F9" s="28">
        <v>-113</v>
      </c>
      <c r="G9" s="28">
        <v>-86</v>
      </c>
      <c r="H9" s="28">
        <v>158</v>
      </c>
      <c r="I9" s="28">
        <v>166</v>
      </c>
      <c r="J9" s="28">
        <v>-242</v>
      </c>
      <c r="K9" s="28">
        <v>-27</v>
      </c>
      <c r="L9" s="28">
        <v>-76</v>
      </c>
      <c r="M9" s="28">
        <v>-281</v>
      </c>
      <c r="N9" s="29">
        <f t="shared" si="0"/>
        <v>-566</v>
      </c>
    </row>
    <row r="10" spans="1:14" s="21" customFormat="1" ht="21" customHeight="1" x14ac:dyDescent="0.2">
      <c r="A10" s="26" t="s">
        <v>5</v>
      </c>
      <c r="B10" s="27">
        <v>56</v>
      </c>
      <c r="C10" s="28">
        <v>84</v>
      </c>
      <c r="D10" s="28">
        <v>91</v>
      </c>
      <c r="E10" s="28">
        <v>49</v>
      </c>
      <c r="F10" s="28">
        <v>70</v>
      </c>
      <c r="G10" s="28">
        <v>107</v>
      </c>
      <c r="H10" s="28">
        <v>94</v>
      </c>
      <c r="I10" s="28">
        <v>76</v>
      </c>
      <c r="J10" s="28">
        <v>80</v>
      </c>
      <c r="K10" s="28">
        <v>162</v>
      </c>
      <c r="L10" s="28">
        <v>104</v>
      </c>
      <c r="M10" s="28">
        <v>104</v>
      </c>
      <c r="N10" s="29">
        <f t="shared" si="0"/>
        <v>1077</v>
      </c>
    </row>
    <row r="11" spans="1:14" s="21" customFormat="1" ht="21" customHeight="1" x14ac:dyDescent="0.2">
      <c r="A11" s="26" t="s">
        <v>6</v>
      </c>
      <c r="B11" s="27">
        <v>1</v>
      </c>
      <c r="C11" s="28">
        <v>1</v>
      </c>
      <c r="D11" s="28">
        <v>1</v>
      </c>
      <c r="E11" s="28">
        <v>1</v>
      </c>
      <c r="F11" s="28">
        <v>1</v>
      </c>
      <c r="G11" s="28">
        <v>1</v>
      </c>
      <c r="H11" s="28">
        <v>1</v>
      </c>
      <c r="I11" s="28">
        <v>1</v>
      </c>
      <c r="J11" s="28">
        <v>1</v>
      </c>
      <c r="K11" s="28">
        <v>1</v>
      </c>
      <c r="L11" s="28">
        <v>1</v>
      </c>
      <c r="M11" s="28">
        <v>1</v>
      </c>
      <c r="N11" s="29">
        <f t="shared" si="0"/>
        <v>12</v>
      </c>
    </row>
    <row r="12" spans="1:14" s="21" customFormat="1" ht="21" customHeight="1" x14ac:dyDescent="0.2">
      <c r="A12" s="22" t="s">
        <v>7</v>
      </c>
      <c r="B12" s="23">
        <v>4771.2150000000001</v>
      </c>
      <c r="C12" s="24">
        <v>4692.5280000000002</v>
      </c>
      <c r="D12" s="24">
        <v>4658.6750000000002</v>
      </c>
      <c r="E12" s="24">
        <v>4524.2870000000003</v>
      </c>
      <c r="F12" s="24">
        <v>4676.45</v>
      </c>
      <c r="G12" s="24">
        <v>4747.1260000000002</v>
      </c>
      <c r="H12" s="24">
        <v>5744.0780000000004</v>
      </c>
      <c r="I12" s="24">
        <v>5695.549</v>
      </c>
      <c r="J12" s="24">
        <v>5440.4849999999997</v>
      </c>
      <c r="K12" s="24">
        <v>5710.2160000000003</v>
      </c>
      <c r="L12" s="24">
        <v>5464.2470000000003</v>
      </c>
      <c r="M12" s="24">
        <v>5768.91</v>
      </c>
      <c r="N12" s="25">
        <f>N5+N6+N7+-N8-N9+N10-N11</f>
        <v>61893.766000000003</v>
      </c>
    </row>
    <row r="13" spans="1:14" s="21" customFormat="1" ht="21" customHeight="1" x14ac:dyDescent="0.2">
      <c r="A13" s="26" t="s">
        <v>12</v>
      </c>
      <c r="B13" s="27">
        <v>4621</v>
      </c>
      <c r="C13" s="28">
        <v>4564</v>
      </c>
      <c r="D13" s="28">
        <v>4603</v>
      </c>
      <c r="E13" s="28">
        <v>4306</v>
      </c>
      <c r="F13" s="28">
        <v>4294</v>
      </c>
      <c r="G13" s="28">
        <v>4545</v>
      </c>
      <c r="H13" s="28">
        <v>5623</v>
      </c>
      <c r="I13" s="28">
        <v>5319</v>
      </c>
      <c r="J13" s="28">
        <v>5153</v>
      </c>
      <c r="K13" s="28">
        <v>5658</v>
      </c>
      <c r="L13" s="28">
        <v>5140</v>
      </c>
      <c r="M13" s="28">
        <v>5297</v>
      </c>
      <c r="N13" s="29">
        <f>SUM(B13:M13)</f>
        <v>59123</v>
      </c>
    </row>
    <row r="14" spans="1:14" s="21" customFormat="1" ht="21" customHeight="1" x14ac:dyDescent="0.2">
      <c r="A14" s="26" t="s">
        <v>8</v>
      </c>
      <c r="B14" s="27">
        <v>42.639000000001033</v>
      </c>
      <c r="C14" s="28">
        <v>40.124000000000706</v>
      </c>
      <c r="D14" s="28">
        <v>41.675000000000182</v>
      </c>
      <c r="E14" s="28">
        <v>40.287000000000262</v>
      </c>
      <c r="F14" s="28">
        <v>42.471000000000458</v>
      </c>
      <c r="G14" s="28">
        <v>43.433000000000902</v>
      </c>
      <c r="H14" s="28">
        <v>51.078000000000429</v>
      </c>
      <c r="I14" s="28">
        <v>48.548999999999978</v>
      </c>
      <c r="J14" s="28">
        <v>48.484999999999673</v>
      </c>
      <c r="K14" s="28">
        <v>50.216000000000349</v>
      </c>
      <c r="L14" s="28">
        <v>48.247000000000298</v>
      </c>
      <c r="M14" s="28">
        <v>50.909999999999854</v>
      </c>
      <c r="N14" s="29">
        <f>SUM(B14:M14)</f>
        <v>548.11400000000413</v>
      </c>
    </row>
    <row r="15" spans="1:14" s="21" customFormat="1" ht="21" customHeight="1" x14ac:dyDescent="0.2">
      <c r="A15" s="22" t="s">
        <v>9</v>
      </c>
      <c r="B15" s="23">
        <v>4728.5759999999991</v>
      </c>
      <c r="C15" s="24">
        <v>4652.4039999999995</v>
      </c>
      <c r="D15" s="24">
        <v>4617</v>
      </c>
      <c r="E15" s="24">
        <v>4484</v>
      </c>
      <c r="F15" s="24">
        <v>4633.9789999999994</v>
      </c>
      <c r="G15" s="24">
        <v>4703.6929999999993</v>
      </c>
      <c r="H15" s="24">
        <v>5693</v>
      </c>
      <c r="I15" s="24">
        <v>5647</v>
      </c>
      <c r="J15" s="24">
        <v>5392</v>
      </c>
      <c r="K15" s="24">
        <v>5660</v>
      </c>
      <c r="L15" s="24">
        <v>5416</v>
      </c>
      <c r="M15" s="24">
        <v>5718</v>
      </c>
      <c r="N15" s="25">
        <f>SUM(B15:M15)</f>
        <v>61345.652000000002</v>
      </c>
    </row>
    <row r="16" spans="1:14" ht="15" x14ac:dyDescent="0.2">
      <c r="A16" s="9" t="s">
        <v>14</v>
      </c>
      <c r="B16" s="3">
        <v>160.148</v>
      </c>
      <c r="C16" s="2">
        <v>162.09100000000001</v>
      </c>
      <c r="D16" s="2">
        <v>159.714</v>
      </c>
      <c r="E16" s="2">
        <v>155.83699999999999</v>
      </c>
      <c r="F16" s="2">
        <v>149.9</v>
      </c>
      <c r="G16" s="2">
        <v>162.203</v>
      </c>
      <c r="H16" s="2">
        <v>182.48400000000001</v>
      </c>
      <c r="I16" s="2">
        <v>197.381</v>
      </c>
      <c r="J16" s="2">
        <v>183.72399999999999</v>
      </c>
      <c r="K16" s="2">
        <v>186.542</v>
      </c>
      <c r="L16" s="2">
        <v>180.28800000000001</v>
      </c>
      <c r="M16" s="2">
        <v>179.03100000000001</v>
      </c>
      <c r="N16" s="4">
        <f>SUM(B16:M16)</f>
        <v>2059.3429999999998</v>
      </c>
    </row>
    <row r="17" spans="1:14" ht="15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ref="N17:N49" si="1">SUM(B17:M17)</f>
        <v>0</v>
      </c>
    </row>
    <row r="18" spans="1:14" ht="15" x14ac:dyDescent="0.2">
      <c r="A18" s="9" t="s">
        <v>16</v>
      </c>
      <c r="B18" s="3">
        <v>105.568</v>
      </c>
      <c r="C18" s="2">
        <v>96.591999999999999</v>
      </c>
      <c r="D18" s="2">
        <v>93.430999999999997</v>
      </c>
      <c r="E18" s="2">
        <v>84.977000000000004</v>
      </c>
      <c r="F18" s="2">
        <v>77.373000000000005</v>
      </c>
      <c r="G18" s="2">
        <v>83.869</v>
      </c>
      <c r="H18" s="2">
        <v>99.147000000000006</v>
      </c>
      <c r="I18" s="2">
        <v>100.072</v>
      </c>
      <c r="J18" s="2">
        <v>91.195999999999998</v>
      </c>
      <c r="K18" s="2">
        <v>92.162000000000006</v>
      </c>
      <c r="L18" s="2">
        <v>85.650999999999996</v>
      </c>
      <c r="M18" s="2">
        <v>106.20099999999999</v>
      </c>
      <c r="N18" s="4">
        <f t="shared" si="1"/>
        <v>1116.239</v>
      </c>
    </row>
    <row r="19" spans="1:14" ht="15" x14ac:dyDescent="0.2">
      <c r="A19" s="9" t="s">
        <v>17</v>
      </c>
      <c r="B19" s="3">
        <v>41.933999999999997</v>
      </c>
      <c r="C19" s="2">
        <v>40.610999999999997</v>
      </c>
      <c r="D19" s="2">
        <v>43.326999999999998</v>
      </c>
      <c r="E19" s="2">
        <v>48.831000000000003</v>
      </c>
      <c r="F19" s="2">
        <v>44.626999999999995</v>
      </c>
      <c r="G19" s="2">
        <v>40.671999999999997</v>
      </c>
      <c r="H19" s="2">
        <v>49.02</v>
      </c>
      <c r="I19" s="2">
        <v>53.311999999999998</v>
      </c>
      <c r="J19" s="2">
        <v>51.554000000000002</v>
      </c>
      <c r="K19" s="2">
        <v>55.811999999999998</v>
      </c>
      <c r="L19" s="2">
        <v>56.140999999999998</v>
      </c>
      <c r="M19" s="2">
        <v>59.024999999999999</v>
      </c>
      <c r="N19" s="4">
        <f t="shared" si="1"/>
        <v>584.86599999999987</v>
      </c>
    </row>
    <row r="20" spans="1:14" ht="15" x14ac:dyDescent="0.2">
      <c r="A20" s="9" t="s">
        <v>18</v>
      </c>
      <c r="B20" s="3">
        <v>35.939</v>
      </c>
      <c r="C20" s="2">
        <v>24.138999999999999</v>
      </c>
      <c r="D20" s="2">
        <v>36.021000000000001</v>
      </c>
      <c r="E20" s="2">
        <v>27.779</v>
      </c>
      <c r="F20" s="2">
        <v>30.559000000000001</v>
      </c>
      <c r="G20" s="2">
        <v>22.016999999999999</v>
      </c>
      <c r="H20" s="2">
        <v>24.574000000000002</v>
      </c>
      <c r="I20" s="2">
        <v>24.318000000000001</v>
      </c>
      <c r="J20" s="2">
        <v>27.331</v>
      </c>
      <c r="K20" s="2">
        <v>17.428000000000001</v>
      </c>
      <c r="L20" s="2">
        <v>25.881</v>
      </c>
      <c r="M20" s="2">
        <v>21.809000000000001</v>
      </c>
      <c r="N20" s="4">
        <f t="shared" si="1"/>
        <v>317.79500000000002</v>
      </c>
    </row>
    <row r="21" spans="1:14" ht="15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1"/>
        <v>0</v>
      </c>
    </row>
    <row r="22" spans="1:14" ht="15" x14ac:dyDescent="0.2">
      <c r="A22" s="9" t="s">
        <v>20</v>
      </c>
      <c r="B22" s="3">
        <v>106.87</v>
      </c>
      <c r="C22" s="2">
        <v>90.156000000000006</v>
      </c>
      <c r="D22" s="2">
        <v>103.593</v>
      </c>
      <c r="E22" s="2">
        <v>96.129000000000005</v>
      </c>
      <c r="F22" s="2">
        <v>40.021999999999998</v>
      </c>
      <c r="G22" s="2">
        <v>15.922000000000001</v>
      </c>
      <c r="H22" s="2">
        <v>82.677000000000007</v>
      </c>
      <c r="I22" s="2">
        <v>122.33799999999999</v>
      </c>
      <c r="J22" s="2">
        <v>112.048</v>
      </c>
      <c r="K22" s="2">
        <v>128.46199999999999</v>
      </c>
      <c r="L22" s="2">
        <v>113.804</v>
      </c>
      <c r="M22" s="2">
        <v>99.137</v>
      </c>
      <c r="N22" s="4">
        <f t="shared" si="1"/>
        <v>1111.1579999999999</v>
      </c>
    </row>
    <row r="23" spans="1:14" ht="15" x14ac:dyDescent="0.2">
      <c r="A23" s="9" t="s">
        <v>21</v>
      </c>
      <c r="B23" s="3">
        <v>5.7880000000000003</v>
      </c>
      <c r="C23" s="2">
        <v>3.633</v>
      </c>
      <c r="D23" s="2">
        <v>3.2170000000000001</v>
      </c>
      <c r="E23" s="2">
        <v>10.253</v>
      </c>
      <c r="F23" s="2">
        <v>9.2650000000000006</v>
      </c>
      <c r="G23" s="2">
        <v>2.19</v>
      </c>
      <c r="H23" s="2">
        <v>7.0149999999999997</v>
      </c>
      <c r="I23" s="2">
        <v>8.0890000000000004</v>
      </c>
      <c r="J23" s="2">
        <v>6.3739999999999997</v>
      </c>
      <c r="K23" s="2">
        <v>2.5579999999999998</v>
      </c>
      <c r="L23" s="2">
        <v>4.9279999999999999</v>
      </c>
      <c r="M23" s="2">
        <v>5.9870000000000001</v>
      </c>
      <c r="N23" s="4">
        <f t="shared" si="1"/>
        <v>69.296999999999997</v>
      </c>
    </row>
    <row r="24" spans="1:14" ht="15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1"/>
        <v>0</v>
      </c>
    </row>
    <row r="25" spans="1:14" ht="15" x14ac:dyDescent="0.2">
      <c r="A25" s="9" t="s">
        <v>23</v>
      </c>
      <c r="B25" s="3">
        <v>411.52799999999991</v>
      </c>
      <c r="C25" s="2">
        <v>387.59</v>
      </c>
      <c r="D25" s="2">
        <v>365.02199999999999</v>
      </c>
      <c r="E25" s="2">
        <v>418.30400000000003</v>
      </c>
      <c r="F25" s="2">
        <v>456.47500000000002</v>
      </c>
      <c r="G25" s="2">
        <v>498.51900000000006</v>
      </c>
      <c r="H25" s="2">
        <v>556.61199999999997</v>
      </c>
      <c r="I25" s="2">
        <v>604.94100000000003</v>
      </c>
      <c r="J25" s="2">
        <v>582.5150000000001</v>
      </c>
      <c r="K25" s="2">
        <v>535.81100000000004</v>
      </c>
      <c r="L25" s="2">
        <v>581.36299999999994</v>
      </c>
      <c r="M25" s="2">
        <v>639.55500000000006</v>
      </c>
      <c r="N25" s="4">
        <f t="shared" si="1"/>
        <v>6038.2350000000006</v>
      </c>
    </row>
    <row r="26" spans="1:14" ht="15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11.865</v>
      </c>
      <c r="L26" s="2">
        <v>0</v>
      </c>
      <c r="M26" s="2">
        <v>0</v>
      </c>
      <c r="N26" s="4">
        <f t="shared" si="1"/>
        <v>11.865</v>
      </c>
    </row>
    <row r="27" spans="1:14" ht="15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1"/>
        <v>0</v>
      </c>
    </row>
    <row r="28" spans="1:14" ht="15" x14ac:dyDescent="0.2">
      <c r="A28" s="9" t="s">
        <v>26</v>
      </c>
      <c r="B28" s="3">
        <v>16.535</v>
      </c>
      <c r="C28" s="2">
        <v>12.808999999999999</v>
      </c>
      <c r="D28" s="2">
        <v>7.601</v>
      </c>
      <c r="E28" s="2">
        <v>13.676</v>
      </c>
      <c r="F28" s="2">
        <v>4.3079999999999998</v>
      </c>
      <c r="G28" s="2">
        <v>1.0880000000000001</v>
      </c>
      <c r="H28" s="2">
        <v>14.771000000000001</v>
      </c>
      <c r="I28" s="2">
        <v>15.95</v>
      </c>
      <c r="J28" s="2">
        <v>27.129000000000001</v>
      </c>
      <c r="K28" s="2">
        <v>19.856999999999999</v>
      </c>
      <c r="L28" s="2">
        <v>15.196000000000002</v>
      </c>
      <c r="M28" s="2">
        <v>12.603999999999999</v>
      </c>
      <c r="N28" s="4">
        <f t="shared" si="1"/>
        <v>161.524</v>
      </c>
    </row>
    <row r="29" spans="1:14" ht="15" x14ac:dyDescent="0.2">
      <c r="A29" s="9" t="s">
        <v>27</v>
      </c>
      <c r="B29" s="3">
        <v>0</v>
      </c>
      <c r="C29" s="2">
        <v>0</v>
      </c>
      <c r="D29" s="2">
        <v>0</v>
      </c>
      <c r="E29" s="2">
        <v>4.8000000000000001E-2</v>
      </c>
      <c r="F29" s="2">
        <v>6.0000000000000001E-3</v>
      </c>
      <c r="G29" s="2">
        <v>0</v>
      </c>
      <c r="H29" s="2">
        <v>0</v>
      </c>
      <c r="I29" s="2">
        <v>2E-3</v>
      </c>
      <c r="J29" s="2">
        <v>4.0000000000000001E-3</v>
      </c>
      <c r="K29" s="2">
        <v>5.0000000000000001E-3</v>
      </c>
      <c r="L29" s="2">
        <v>0</v>
      </c>
      <c r="M29" s="2">
        <v>0</v>
      </c>
      <c r="N29" s="4">
        <f t="shared" si="1"/>
        <v>6.5000000000000002E-2</v>
      </c>
    </row>
    <row r="30" spans="1:14" ht="15" x14ac:dyDescent="0.2">
      <c r="A30" s="9" t="s">
        <v>28</v>
      </c>
      <c r="B30" s="3">
        <v>665.44500000000005</v>
      </c>
      <c r="C30" s="2">
        <v>643.71699999999998</v>
      </c>
      <c r="D30" s="2">
        <v>615.80100000000004</v>
      </c>
      <c r="E30" s="2">
        <v>597.41999999999996</v>
      </c>
      <c r="F30" s="2">
        <v>688.17499999999995</v>
      </c>
      <c r="G30" s="2">
        <v>665.26900000000001</v>
      </c>
      <c r="H30" s="2">
        <v>813.66899999999998</v>
      </c>
      <c r="I30" s="2">
        <v>755.76599999999996</v>
      </c>
      <c r="J30" s="2">
        <v>713.47500000000002</v>
      </c>
      <c r="K30" s="2">
        <v>753.74699999999996</v>
      </c>
      <c r="L30" s="2">
        <v>719.46799999999996</v>
      </c>
      <c r="M30" s="2">
        <v>739.61699999999996</v>
      </c>
      <c r="N30" s="4">
        <f t="shared" si="1"/>
        <v>8371.5689999999995</v>
      </c>
    </row>
    <row r="31" spans="1:14" ht="15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1"/>
        <v>0</v>
      </c>
    </row>
    <row r="32" spans="1:14" ht="15" x14ac:dyDescent="0.2">
      <c r="A32" s="9" t="s">
        <v>30</v>
      </c>
      <c r="B32" s="3">
        <v>225.71100000000001</v>
      </c>
      <c r="C32" s="2">
        <v>156.19200000000001</v>
      </c>
      <c r="D32" s="2">
        <v>233.01599999999999</v>
      </c>
      <c r="E32" s="2">
        <v>245.76</v>
      </c>
      <c r="F32" s="2">
        <v>121.27500000000001</v>
      </c>
      <c r="G32" s="2">
        <v>34.01</v>
      </c>
      <c r="H32" s="2">
        <v>222.595</v>
      </c>
      <c r="I32" s="2">
        <v>265.18599999999998</v>
      </c>
      <c r="J32" s="2">
        <v>247.154</v>
      </c>
      <c r="K32" s="2">
        <v>285.79599999999999</v>
      </c>
      <c r="L32" s="2">
        <v>207.60499999999999</v>
      </c>
      <c r="M32" s="2">
        <v>218.46100000000001</v>
      </c>
      <c r="N32" s="4">
        <f t="shared" si="1"/>
        <v>2462.7609999999995</v>
      </c>
    </row>
    <row r="33" spans="1:14" ht="15" x14ac:dyDescent="0.2">
      <c r="A33" s="9" t="s">
        <v>31</v>
      </c>
      <c r="B33" s="3">
        <v>8.1539999999999999</v>
      </c>
      <c r="C33" s="2">
        <v>40.112000000000002</v>
      </c>
      <c r="D33" s="2">
        <v>18.841999999999999</v>
      </c>
      <c r="E33" s="2">
        <v>2.4889999999999999</v>
      </c>
      <c r="F33" s="2">
        <v>16.975000000000001</v>
      </c>
      <c r="G33" s="2">
        <v>23.667000000000002</v>
      </c>
      <c r="H33" s="2">
        <v>27.507000000000001</v>
      </c>
      <c r="I33" s="2">
        <v>24.451000000000001</v>
      </c>
      <c r="J33" s="2">
        <v>30.071999999999999</v>
      </c>
      <c r="K33" s="2">
        <v>42.231000000000002</v>
      </c>
      <c r="L33" s="2">
        <v>32.795999999999999</v>
      </c>
      <c r="M33" s="2">
        <v>42.018999999999998</v>
      </c>
      <c r="N33" s="4">
        <f t="shared" si="1"/>
        <v>309.315</v>
      </c>
    </row>
    <row r="34" spans="1:14" ht="15" x14ac:dyDescent="0.2">
      <c r="A34" s="9" t="s">
        <v>32</v>
      </c>
      <c r="B34" s="3">
        <v>0.45600000000000002</v>
      </c>
      <c r="C34" s="2">
        <v>20.568999999999999</v>
      </c>
      <c r="D34" s="2">
        <v>3.4649999999999999</v>
      </c>
      <c r="E34" s="2">
        <v>9.8819999999999997</v>
      </c>
      <c r="F34" s="2">
        <v>0.26100000000000001</v>
      </c>
      <c r="G34" s="2">
        <v>0</v>
      </c>
      <c r="H34" s="2">
        <v>0.372</v>
      </c>
      <c r="I34" s="2">
        <v>0.40699999999999997</v>
      </c>
      <c r="J34" s="2">
        <v>0</v>
      </c>
      <c r="K34" s="2">
        <v>0.59099999999999997</v>
      </c>
      <c r="L34" s="2">
        <v>7.9790000000000001</v>
      </c>
      <c r="M34" s="2">
        <v>2.3849999999999998</v>
      </c>
      <c r="N34" s="4">
        <f t="shared" si="1"/>
        <v>46.366999999999997</v>
      </c>
    </row>
    <row r="35" spans="1:14" ht="15" x14ac:dyDescent="0.2">
      <c r="A35" s="9" t="s">
        <v>33</v>
      </c>
      <c r="B35" s="3">
        <v>1E-3</v>
      </c>
      <c r="C35" s="2">
        <v>3.0000000000000001E-3</v>
      </c>
      <c r="D35" s="2">
        <v>2E-3</v>
      </c>
      <c r="E35" s="2">
        <v>5.7000000000000002E-2</v>
      </c>
      <c r="F35" s="2">
        <v>0.02</v>
      </c>
      <c r="G35" s="2">
        <v>0</v>
      </c>
      <c r="H35" s="2">
        <v>8.9999999999999993E-3</v>
      </c>
      <c r="I35" s="2">
        <v>0.25900000000000001</v>
      </c>
      <c r="J35" s="2">
        <v>0.14899999999999999</v>
      </c>
      <c r="K35" s="2">
        <v>1E-3</v>
      </c>
      <c r="L35" s="2">
        <v>4.0000000000000001E-3</v>
      </c>
      <c r="M35" s="2">
        <v>0.255</v>
      </c>
      <c r="N35" s="4">
        <f t="shared" si="1"/>
        <v>0.76</v>
      </c>
    </row>
    <row r="36" spans="1:14" ht="15" x14ac:dyDescent="0.2">
      <c r="A36" s="9" t="s">
        <v>34</v>
      </c>
      <c r="B36" s="3">
        <v>0</v>
      </c>
      <c r="C36" s="2">
        <v>0</v>
      </c>
      <c r="D36" s="2">
        <v>0</v>
      </c>
      <c r="E36" s="2">
        <v>1E-3</v>
      </c>
      <c r="F36" s="2">
        <v>0</v>
      </c>
      <c r="G36" s="2">
        <v>0</v>
      </c>
      <c r="H36" s="2">
        <v>0</v>
      </c>
      <c r="I36" s="2">
        <v>1.7999999999999999E-2</v>
      </c>
      <c r="J36" s="2">
        <v>2E-3</v>
      </c>
      <c r="K36" s="2">
        <v>0</v>
      </c>
      <c r="L36" s="2">
        <v>1E-3</v>
      </c>
      <c r="M36" s="2">
        <v>1.4999999999999999E-2</v>
      </c>
      <c r="N36" s="4">
        <f t="shared" si="1"/>
        <v>3.6999999999999998E-2</v>
      </c>
    </row>
    <row r="37" spans="1:14" ht="15" x14ac:dyDescent="0.2">
      <c r="A37" s="9" t="s">
        <v>35</v>
      </c>
      <c r="B37" s="3">
        <v>1903.711</v>
      </c>
      <c r="C37" s="2">
        <v>1870.558</v>
      </c>
      <c r="D37" s="2">
        <v>1742.79</v>
      </c>
      <c r="E37" s="2">
        <v>1703.9269999999999</v>
      </c>
      <c r="F37" s="2">
        <v>1913.6590000000001</v>
      </c>
      <c r="G37" s="2">
        <v>1964.193</v>
      </c>
      <c r="H37" s="2">
        <v>2169.1120000000001</v>
      </c>
      <c r="I37" s="2">
        <v>2222.154</v>
      </c>
      <c r="J37" s="2">
        <v>2021.0920000000001</v>
      </c>
      <c r="K37" s="2">
        <v>2049.723</v>
      </c>
      <c r="L37" s="2">
        <v>1985.87</v>
      </c>
      <c r="M37" s="2">
        <v>2108.3090000000002</v>
      </c>
      <c r="N37" s="4">
        <f t="shared" si="1"/>
        <v>23655.098000000002</v>
      </c>
    </row>
    <row r="38" spans="1:14" ht="15" x14ac:dyDescent="0.2">
      <c r="A38" s="9" t="s">
        <v>36</v>
      </c>
      <c r="B38" s="3">
        <v>0</v>
      </c>
      <c r="C38" s="2">
        <v>0.20499999999999999</v>
      </c>
      <c r="D38" s="2">
        <v>0.19900000000000001</v>
      </c>
      <c r="E38" s="2">
        <v>1E-3</v>
      </c>
      <c r="F38" s="2">
        <v>0</v>
      </c>
      <c r="G38" s="2">
        <v>0</v>
      </c>
      <c r="H38" s="2">
        <v>4.7E-2</v>
      </c>
      <c r="I38" s="2">
        <v>2.7949999999999999</v>
      </c>
      <c r="J38" s="2">
        <v>1.7689999999999999</v>
      </c>
      <c r="K38" s="2">
        <v>2.5449999999999999</v>
      </c>
      <c r="L38" s="2">
        <v>2.1709999999999998</v>
      </c>
      <c r="M38" s="2">
        <v>0.498</v>
      </c>
      <c r="N38" s="4">
        <f t="shared" si="1"/>
        <v>10.229999999999999</v>
      </c>
    </row>
    <row r="39" spans="1:14" ht="15" x14ac:dyDescent="0.2">
      <c r="A39" s="9" t="s">
        <v>37</v>
      </c>
      <c r="B39" s="3">
        <v>0</v>
      </c>
      <c r="C39" s="2">
        <v>0</v>
      </c>
      <c r="D39" s="2">
        <v>0</v>
      </c>
      <c r="E39" s="2">
        <v>5.9930000000000003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1"/>
        <v>5.9930000000000003</v>
      </c>
    </row>
    <row r="40" spans="1:14" ht="15" x14ac:dyDescent="0.2">
      <c r="A40" s="9" t="s">
        <v>38</v>
      </c>
      <c r="B40" s="3">
        <v>5.7389999999999999</v>
      </c>
      <c r="C40" s="2">
        <v>29.728999999999999</v>
      </c>
      <c r="D40" s="2">
        <v>7.0430000000000001</v>
      </c>
      <c r="E40" s="2">
        <v>11.016999999999999</v>
      </c>
      <c r="F40" s="2">
        <v>65.792000000000002</v>
      </c>
      <c r="G40" s="2">
        <v>8</v>
      </c>
      <c r="H40" s="2">
        <v>46.676000000000002</v>
      </c>
      <c r="I40" s="2">
        <v>23.303999999999998</v>
      </c>
      <c r="J40" s="2">
        <v>14.904</v>
      </c>
      <c r="K40" s="2">
        <v>25.838000000000001</v>
      </c>
      <c r="L40" s="2">
        <v>0</v>
      </c>
      <c r="M40" s="2">
        <v>4.6369999999999996</v>
      </c>
      <c r="N40" s="4">
        <f t="shared" si="1"/>
        <v>242.67899999999997</v>
      </c>
    </row>
    <row r="41" spans="1:14" ht="15" x14ac:dyDescent="0.2">
      <c r="A41" s="9" t="s">
        <v>39</v>
      </c>
      <c r="B41" s="3">
        <v>1.554</v>
      </c>
      <c r="C41" s="2">
        <v>0.77300000000000002</v>
      </c>
      <c r="D41" s="2">
        <v>0.73099999999999998</v>
      </c>
      <c r="E41" s="2">
        <v>0.76100000000000001</v>
      </c>
      <c r="F41" s="2">
        <v>0.32800000000000001</v>
      </c>
      <c r="G41" s="2">
        <v>2.7610000000000001</v>
      </c>
      <c r="H41" s="2">
        <v>9.9849999999999994</v>
      </c>
      <c r="I41" s="2">
        <v>1.1319999999999999</v>
      </c>
      <c r="J41" s="2">
        <v>2.4289999999999998</v>
      </c>
      <c r="K41" s="2">
        <v>0.59</v>
      </c>
      <c r="L41" s="2">
        <v>1.522</v>
      </c>
      <c r="M41" s="2">
        <v>0.85699999999999998</v>
      </c>
      <c r="N41" s="4">
        <f t="shared" si="1"/>
        <v>23.422999999999998</v>
      </c>
    </row>
    <row r="42" spans="1:14" ht="15" x14ac:dyDescent="0.2">
      <c r="A42" s="9" t="s">
        <v>57</v>
      </c>
      <c r="B42" s="3">
        <v>26.96</v>
      </c>
      <c r="C42" s="2">
        <v>20.303000000000001</v>
      </c>
      <c r="D42" s="2">
        <v>18.373000000000001</v>
      </c>
      <c r="E42" s="2">
        <v>18.099</v>
      </c>
      <c r="F42" s="2">
        <v>32.548000000000002</v>
      </c>
      <c r="G42" s="2">
        <v>49.22</v>
      </c>
      <c r="H42" s="2">
        <v>55.619</v>
      </c>
      <c r="I42" s="2">
        <v>68.870999999999995</v>
      </c>
      <c r="J42" s="2">
        <v>14.746</v>
      </c>
      <c r="K42" s="2">
        <v>74.908000000000001</v>
      </c>
      <c r="L42" s="2">
        <v>72.254999999999995</v>
      </c>
      <c r="M42" s="2">
        <v>33.061999999999998</v>
      </c>
      <c r="N42" s="4">
        <f t="shared" si="1"/>
        <v>484.964</v>
      </c>
    </row>
    <row r="43" spans="1:14" ht="15" x14ac:dyDescent="0.2">
      <c r="A43" s="9" t="s">
        <v>40</v>
      </c>
      <c r="B43" s="3">
        <v>389.30200000000002</v>
      </c>
      <c r="C43" s="2">
        <v>394.04700000000003</v>
      </c>
      <c r="D43" s="2">
        <v>453.08300000000003</v>
      </c>
      <c r="E43" s="2">
        <v>421.92700000000002</v>
      </c>
      <c r="F43" s="2">
        <v>396.33199999999999</v>
      </c>
      <c r="G43" s="2">
        <v>402.01900000000001</v>
      </c>
      <c r="H43" s="2">
        <v>467.43100000000004</v>
      </c>
      <c r="I43" s="2">
        <v>559.69299999999998</v>
      </c>
      <c r="J43" s="2">
        <v>575.02599999999995</v>
      </c>
      <c r="K43" s="2">
        <v>674.92499999999995</v>
      </c>
      <c r="L43" s="2">
        <v>546.95199999999988</v>
      </c>
      <c r="M43" s="2">
        <v>503.14100000000002</v>
      </c>
      <c r="N43" s="4">
        <f t="shared" si="1"/>
        <v>5783.8779999999997</v>
      </c>
    </row>
    <row r="44" spans="1:14" ht="15" x14ac:dyDescent="0.2">
      <c r="A44" s="9" t="s">
        <v>41</v>
      </c>
      <c r="B44" s="3">
        <v>11.904999999999999</v>
      </c>
      <c r="C44" s="2">
        <v>14.657999999999999</v>
      </c>
      <c r="D44" s="2">
        <v>15.647</v>
      </c>
      <c r="E44" s="2">
        <v>17.722000000000001</v>
      </c>
      <c r="F44" s="2">
        <v>20.858000000000001</v>
      </c>
      <c r="G44" s="2">
        <v>17.385999999999999</v>
      </c>
      <c r="H44" s="2">
        <v>13.073</v>
      </c>
      <c r="I44" s="2">
        <v>10.64</v>
      </c>
      <c r="J44" s="2">
        <v>13.303000000000001</v>
      </c>
      <c r="K44" s="2">
        <v>12.164999999999999</v>
      </c>
      <c r="L44" s="2">
        <v>8.8330000000000002</v>
      </c>
      <c r="M44" s="2">
        <v>8.9890000000000008</v>
      </c>
      <c r="N44" s="4">
        <f t="shared" si="1"/>
        <v>165.179</v>
      </c>
    </row>
    <row r="45" spans="1:14" ht="15" x14ac:dyDescent="0.2">
      <c r="A45" s="9" t="s">
        <v>42</v>
      </c>
      <c r="B45" s="3">
        <v>132.74100000000001</v>
      </c>
      <c r="C45" s="2">
        <v>88.405000000000001</v>
      </c>
      <c r="D45" s="2">
        <v>187.60599999999999</v>
      </c>
      <c r="E45" s="2">
        <v>100.217</v>
      </c>
      <c r="F45" s="2">
        <v>155.14500000000001</v>
      </c>
      <c r="G45" s="2">
        <v>202.39099999999999</v>
      </c>
      <c r="H45" s="2">
        <v>294.20100000000002</v>
      </c>
      <c r="I45" s="2">
        <v>150.727</v>
      </c>
      <c r="J45" s="2">
        <v>142.916</v>
      </c>
      <c r="K45" s="2">
        <v>141.13999999999999</v>
      </c>
      <c r="L45" s="2">
        <v>162.48400000000001</v>
      </c>
      <c r="M45" s="2">
        <v>119.89700000000001</v>
      </c>
      <c r="N45" s="4">
        <f t="shared" si="1"/>
        <v>1877.87</v>
      </c>
    </row>
    <row r="46" spans="1:14" ht="15" x14ac:dyDescent="0.2">
      <c r="A46" s="9" t="s">
        <v>43</v>
      </c>
      <c r="B46" s="3">
        <v>18.254999999999999</v>
      </c>
      <c r="C46" s="2">
        <v>18.341999999999999</v>
      </c>
      <c r="D46" s="2">
        <v>9.5850000000000009</v>
      </c>
      <c r="E46" s="2">
        <v>13.632</v>
      </c>
      <c r="F46" s="2">
        <v>13.871</v>
      </c>
      <c r="G46" s="2">
        <v>12.846</v>
      </c>
      <c r="H46" s="2">
        <v>15.141</v>
      </c>
      <c r="I46" s="2">
        <v>17.422000000000001</v>
      </c>
      <c r="J46" s="2">
        <v>16.286999999999999</v>
      </c>
      <c r="K46" s="2">
        <v>13.612</v>
      </c>
      <c r="L46" s="2">
        <v>17.745000000000001</v>
      </c>
      <c r="M46" s="2">
        <v>12.362</v>
      </c>
      <c r="N46" s="4">
        <f t="shared" si="1"/>
        <v>179.1</v>
      </c>
    </row>
    <row r="47" spans="1:14" ht="15" x14ac:dyDescent="0.2">
      <c r="A47" s="9" t="s">
        <v>44</v>
      </c>
      <c r="B47" s="3">
        <v>2.806</v>
      </c>
      <c r="C47" s="2">
        <v>2.5059999999999998</v>
      </c>
      <c r="D47" s="2">
        <v>3.0640000000000001</v>
      </c>
      <c r="E47" s="2">
        <v>2.5329999999999999</v>
      </c>
      <c r="F47" s="2">
        <v>3.2349999999999999</v>
      </c>
      <c r="G47" s="2">
        <v>3.1259999999999999</v>
      </c>
      <c r="H47" s="2">
        <v>3.3450000000000002</v>
      </c>
      <c r="I47" s="2">
        <v>1.792</v>
      </c>
      <c r="J47" s="2">
        <v>2.7189999999999999</v>
      </c>
      <c r="K47" s="2">
        <v>3.7149999999999999</v>
      </c>
      <c r="L47" s="2">
        <v>2.544</v>
      </c>
      <c r="M47" s="2">
        <v>2.2919999999999998</v>
      </c>
      <c r="N47" s="4">
        <f t="shared" si="1"/>
        <v>33.677</v>
      </c>
    </row>
    <row r="48" spans="1:14" ht="15" x14ac:dyDescent="0.2">
      <c r="A48" s="9" t="s">
        <v>45</v>
      </c>
      <c r="B48" s="3">
        <v>254.233</v>
      </c>
      <c r="C48" s="2">
        <v>261.57499999999999</v>
      </c>
      <c r="D48" s="2">
        <v>242.63399999999999</v>
      </c>
      <c r="E48" s="2">
        <v>230.22399999999999</v>
      </c>
      <c r="F48" s="2">
        <v>227.07900000000001</v>
      </c>
      <c r="G48" s="2">
        <v>219.07400000000001</v>
      </c>
      <c r="H48" s="2">
        <v>259.85500000000002</v>
      </c>
      <c r="I48" s="2">
        <v>285.59199999999998</v>
      </c>
      <c r="J48" s="2">
        <v>238.13499999999999</v>
      </c>
      <c r="K48" s="2">
        <v>289.06</v>
      </c>
      <c r="L48" s="2">
        <v>278.56700000000001</v>
      </c>
      <c r="M48" s="2">
        <v>298.99400000000003</v>
      </c>
      <c r="N48" s="4">
        <f t="shared" si="1"/>
        <v>3085.0219999999999</v>
      </c>
    </row>
    <row r="49" spans="1:14" ht="15" x14ac:dyDescent="0.2">
      <c r="A49" s="10" t="s">
        <v>52</v>
      </c>
      <c r="B49" s="7">
        <v>197.29299999999998</v>
      </c>
      <c r="C49" s="5">
        <v>273.089</v>
      </c>
      <c r="D49" s="5">
        <v>253.1929999999993</v>
      </c>
      <c r="E49" s="5">
        <v>246.50399999999991</v>
      </c>
      <c r="F49" s="5">
        <v>165.89099999999996</v>
      </c>
      <c r="G49" s="5">
        <v>273.25099999999998</v>
      </c>
      <c r="H49" s="5">
        <v>278.0630000000001</v>
      </c>
      <c r="I49" s="5">
        <v>130.38799999999992</v>
      </c>
      <c r="J49" s="5">
        <v>275.94699999999921</v>
      </c>
      <c r="K49" s="5">
        <v>238.91099999999824</v>
      </c>
      <c r="L49" s="5">
        <v>305.95200000000114</v>
      </c>
      <c r="M49" s="5">
        <v>498.8610000000017</v>
      </c>
      <c r="N49" s="6">
        <f t="shared" si="1"/>
        <v>3137.3429999999994</v>
      </c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N56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8.375" customWidth="1"/>
  </cols>
  <sheetData>
    <row r="1" spans="1:14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20.25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16" customFormat="1" ht="21" customHeight="1" x14ac:dyDescent="0.2">
      <c r="A4" s="11" t="s">
        <v>13</v>
      </c>
      <c r="B4" s="12">
        <v>41275</v>
      </c>
      <c r="C4" s="13">
        <v>41306</v>
      </c>
      <c r="D4" s="13">
        <v>41334</v>
      </c>
      <c r="E4" s="13">
        <v>41365</v>
      </c>
      <c r="F4" s="13">
        <v>41395</v>
      </c>
      <c r="G4" s="13">
        <v>41426</v>
      </c>
      <c r="H4" s="13">
        <v>41456</v>
      </c>
      <c r="I4" s="14">
        <v>41487</v>
      </c>
      <c r="J4" s="14">
        <v>41518</v>
      </c>
      <c r="K4" s="14">
        <v>41548</v>
      </c>
      <c r="L4" s="13">
        <v>41579</v>
      </c>
      <c r="M4" s="13">
        <v>41609</v>
      </c>
      <c r="N4" s="15" t="s">
        <v>10</v>
      </c>
    </row>
    <row r="5" spans="1:14" s="21" customFormat="1" ht="21" customHeight="1" x14ac:dyDescent="0.2">
      <c r="A5" s="17" t="s">
        <v>0</v>
      </c>
      <c r="B5" s="18">
        <v>32.427999999999997</v>
      </c>
      <c r="C5" s="19">
        <v>28.007999999999999</v>
      </c>
      <c r="D5" s="19">
        <v>31</v>
      </c>
      <c r="E5" s="19">
        <v>31.344999999999999</v>
      </c>
      <c r="F5" s="19">
        <v>33.026000000000003</v>
      </c>
      <c r="G5" s="19">
        <v>30.465</v>
      </c>
      <c r="H5" s="19">
        <v>32.222000000000001</v>
      </c>
      <c r="I5" s="19">
        <v>30.466999999999999</v>
      </c>
      <c r="J5" s="19">
        <v>29.056999999999999</v>
      </c>
      <c r="K5" s="19">
        <v>30.728000000000002</v>
      </c>
      <c r="L5" s="19">
        <v>29.497</v>
      </c>
      <c r="M5" s="19">
        <v>30.097000000000001</v>
      </c>
      <c r="N5" s="20">
        <f t="shared" ref="N5:N49" si="0">SUM(B5:M5)</f>
        <v>368.34000000000003</v>
      </c>
    </row>
    <row r="6" spans="1:14" s="21" customFormat="1" ht="21" customHeight="1" x14ac:dyDescent="0.2">
      <c r="A6" s="22" t="s">
        <v>1</v>
      </c>
      <c r="B6" s="23">
        <v>5409</v>
      </c>
      <c r="C6" s="24">
        <v>4531</v>
      </c>
      <c r="D6" s="24">
        <v>4904</v>
      </c>
      <c r="E6" s="24">
        <v>5101</v>
      </c>
      <c r="F6" s="24">
        <v>5224</v>
      </c>
      <c r="G6" s="24">
        <v>4707</v>
      </c>
      <c r="H6" s="24">
        <v>5531</v>
      </c>
      <c r="I6" s="24">
        <v>4817</v>
      </c>
      <c r="J6" s="24">
        <v>4484</v>
      </c>
      <c r="K6" s="24">
        <v>4996</v>
      </c>
      <c r="L6" s="24">
        <v>4343</v>
      </c>
      <c r="M6" s="24">
        <v>3824</v>
      </c>
      <c r="N6" s="25">
        <f t="shared" si="0"/>
        <v>57871</v>
      </c>
    </row>
    <row r="7" spans="1:14" s="21" customFormat="1" ht="21" customHeight="1" x14ac:dyDescent="0.2">
      <c r="A7" s="26" t="s">
        <v>2</v>
      </c>
      <c r="B7" s="27">
        <v>319</v>
      </c>
      <c r="C7" s="28">
        <v>396</v>
      </c>
      <c r="D7" s="28">
        <v>73</v>
      </c>
      <c r="E7" s="28">
        <v>106</v>
      </c>
      <c r="F7" s="28">
        <v>-6</v>
      </c>
      <c r="G7" s="28">
        <v>130</v>
      </c>
      <c r="H7" s="28">
        <v>170</v>
      </c>
      <c r="I7" s="28">
        <v>380</v>
      </c>
      <c r="J7" s="28">
        <v>109</v>
      </c>
      <c r="K7" s="28">
        <v>263</v>
      </c>
      <c r="L7" s="28">
        <v>24</v>
      </c>
      <c r="M7" s="28">
        <v>1</v>
      </c>
      <c r="N7" s="29">
        <f t="shared" si="0"/>
        <v>1965</v>
      </c>
    </row>
    <row r="8" spans="1:14" s="21" customFormat="1" ht="21" customHeight="1" x14ac:dyDescent="0.2">
      <c r="A8" s="26" t="s">
        <v>3</v>
      </c>
      <c r="B8" s="27">
        <v>426</v>
      </c>
      <c r="C8" s="28">
        <v>250</v>
      </c>
      <c r="D8" s="28">
        <v>-66</v>
      </c>
      <c r="E8" s="28">
        <v>-289</v>
      </c>
      <c r="F8" s="28">
        <v>122</v>
      </c>
      <c r="G8" s="28">
        <v>-251</v>
      </c>
      <c r="H8" s="28">
        <v>412</v>
      </c>
      <c r="I8" s="28">
        <v>25</v>
      </c>
      <c r="J8" s="28">
        <v>-156</v>
      </c>
      <c r="K8" s="28">
        <v>498</v>
      </c>
      <c r="L8" s="28">
        <v>9</v>
      </c>
      <c r="M8" s="28">
        <v>-895</v>
      </c>
      <c r="N8" s="29">
        <f t="shared" si="0"/>
        <v>85</v>
      </c>
    </row>
    <row r="9" spans="1:14" s="21" customFormat="1" ht="21" customHeight="1" x14ac:dyDescent="0.2">
      <c r="A9" s="26" t="s">
        <v>4</v>
      </c>
      <c r="B9" s="27">
        <v>213</v>
      </c>
      <c r="C9" s="28">
        <v>-51</v>
      </c>
      <c r="D9" s="28">
        <v>68</v>
      </c>
      <c r="E9" s="28">
        <v>240</v>
      </c>
      <c r="F9" s="28">
        <v>-435</v>
      </c>
      <c r="G9" s="28">
        <v>6</v>
      </c>
      <c r="H9" s="28">
        <v>-21</v>
      </c>
      <c r="I9" s="28">
        <v>41</v>
      </c>
      <c r="J9" s="28">
        <v>-210</v>
      </c>
      <c r="K9" s="28">
        <v>113</v>
      </c>
      <c r="L9" s="28">
        <v>9</v>
      </c>
      <c r="M9" s="28">
        <v>-105</v>
      </c>
      <c r="N9" s="29">
        <f t="shared" si="0"/>
        <v>-132</v>
      </c>
    </row>
    <row r="10" spans="1:14" s="21" customFormat="1" ht="21" customHeight="1" x14ac:dyDescent="0.2">
      <c r="A10" s="26" t="s">
        <v>5</v>
      </c>
      <c r="B10" s="27">
        <v>89</v>
      </c>
      <c r="C10" s="28">
        <v>55</v>
      </c>
      <c r="D10" s="28">
        <v>92</v>
      </c>
      <c r="E10" s="28">
        <v>140</v>
      </c>
      <c r="F10" s="28">
        <v>62</v>
      </c>
      <c r="G10" s="28">
        <v>109</v>
      </c>
      <c r="H10" s="28">
        <v>62</v>
      </c>
      <c r="I10" s="28">
        <v>46</v>
      </c>
      <c r="J10" s="28">
        <v>42</v>
      </c>
      <c r="K10" s="28">
        <v>48</v>
      </c>
      <c r="L10" s="28">
        <v>15</v>
      </c>
      <c r="M10" s="28">
        <v>40</v>
      </c>
      <c r="N10" s="29">
        <f t="shared" si="0"/>
        <v>800</v>
      </c>
    </row>
    <row r="11" spans="1:14" s="21" customFormat="1" ht="21" customHeight="1" x14ac:dyDescent="0.2">
      <c r="A11" s="26" t="s">
        <v>6</v>
      </c>
      <c r="B11" s="27">
        <v>1</v>
      </c>
      <c r="C11" s="28">
        <v>1</v>
      </c>
      <c r="D11" s="28">
        <v>1</v>
      </c>
      <c r="E11" s="28">
        <v>1</v>
      </c>
      <c r="F11" s="28">
        <v>1</v>
      </c>
      <c r="G11" s="28">
        <v>1</v>
      </c>
      <c r="H11" s="28">
        <v>1</v>
      </c>
      <c r="I11" s="28">
        <v>1</v>
      </c>
      <c r="J11" s="28">
        <v>1</v>
      </c>
      <c r="K11" s="28">
        <v>1</v>
      </c>
      <c r="L11" s="28">
        <v>1</v>
      </c>
      <c r="M11" s="28">
        <v>1</v>
      </c>
      <c r="N11" s="29">
        <f t="shared" si="0"/>
        <v>12</v>
      </c>
    </row>
    <row r="12" spans="1:14" s="31" customFormat="1" ht="21" customHeight="1" x14ac:dyDescent="0.2">
      <c r="A12" s="22" t="s">
        <v>7</v>
      </c>
      <c r="B12" s="24">
        <v>5209.4279999999999</v>
      </c>
      <c r="C12" s="24">
        <v>4810.0079999999998</v>
      </c>
      <c r="D12" s="24">
        <v>5097</v>
      </c>
      <c r="E12" s="24">
        <v>5426.3450000000003</v>
      </c>
      <c r="F12" s="24">
        <v>5625.0259999999998</v>
      </c>
      <c r="G12" s="24">
        <v>5220.4650000000001</v>
      </c>
      <c r="H12" s="24">
        <v>5403.2219999999998</v>
      </c>
      <c r="I12" s="24">
        <v>5206.4669999999996</v>
      </c>
      <c r="J12" s="24">
        <v>5029.0569999999998</v>
      </c>
      <c r="K12" s="24">
        <v>4725.7280000000001</v>
      </c>
      <c r="L12" s="24">
        <v>4392.4970000000003</v>
      </c>
      <c r="M12" s="24">
        <v>4894.0969999999998</v>
      </c>
      <c r="N12" s="25">
        <f t="shared" si="0"/>
        <v>61039.340000000004</v>
      </c>
    </row>
    <row r="13" spans="1:14" s="21" customFormat="1" ht="21" customHeight="1" x14ac:dyDescent="0.2">
      <c r="A13" s="26" t="s">
        <v>12</v>
      </c>
      <c r="B13" s="27">
        <v>5016</v>
      </c>
      <c r="C13" s="28">
        <v>4308</v>
      </c>
      <c r="D13" s="28">
        <v>5000</v>
      </c>
      <c r="E13" s="28">
        <v>5420</v>
      </c>
      <c r="F13" s="28">
        <v>5135</v>
      </c>
      <c r="G13" s="28">
        <v>4987</v>
      </c>
      <c r="H13" s="28">
        <v>5150</v>
      </c>
      <c r="I13" s="28">
        <v>4821</v>
      </c>
      <c r="J13" s="28">
        <v>4668</v>
      </c>
      <c r="K13" s="28">
        <v>4528</v>
      </c>
      <c r="L13" s="28">
        <v>4362</v>
      </c>
      <c r="M13" s="28">
        <v>4748</v>
      </c>
      <c r="N13" s="29">
        <f t="shared" si="0"/>
        <v>58143</v>
      </c>
    </row>
    <row r="14" spans="1:14" s="21" customFormat="1" ht="21" customHeight="1" x14ac:dyDescent="0.2">
      <c r="A14" s="26" t="s">
        <v>8</v>
      </c>
      <c r="B14" s="27">
        <v>44.934000000000196</v>
      </c>
      <c r="C14" s="28">
        <v>41.768000000000029</v>
      </c>
      <c r="D14" s="28">
        <v>44</v>
      </c>
      <c r="E14" s="28">
        <v>47.345000000000255</v>
      </c>
      <c r="F14" s="28">
        <v>50.02599999999984</v>
      </c>
      <c r="G14" s="28">
        <v>45.465000000000146</v>
      </c>
      <c r="H14" s="28">
        <v>46.221999999999753</v>
      </c>
      <c r="I14" s="28">
        <v>48.466999999999643</v>
      </c>
      <c r="J14" s="28">
        <v>45.056999999999789</v>
      </c>
      <c r="K14" s="28">
        <v>41.728000000000065</v>
      </c>
      <c r="L14" s="28">
        <v>36.256000000000313</v>
      </c>
      <c r="M14" s="28">
        <v>46.282000000000153</v>
      </c>
      <c r="N14" s="29">
        <f t="shared" si="0"/>
        <v>537.55000000000018</v>
      </c>
    </row>
    <row r="15" spans="1:14" s="21" customFormat="1" ht="21" customHeight="1" x14ac:dyDescent="0.2">
      <c r="A15" s="22" t="s">
        <v>9</v>
      </c>
      <c r="B15" s="23">
        <v>5164.4940000000015</v>
      </c>
      <c r="C15" s="24">
        <v>4768.2399999999989</v>
      </c>
      <c r="D15" s="24">
        <v>5053</v>
      </c>
      <c r="E15" s="24">
        <v>5379</v>
      </c>
      <c r="F15" s="24">
        <v>5575</v>
      </c>
      <c r="G15" s="24">
        <v>5175</v>
      </c>
      <c r="H15" s="24">
        <v>5357</v>
      </c>
      <c r="I15" s="24">
        <v>5158</v>
      </c>
      <c r="J15" s="24">
        <v>4984</v>
      </c>
      <c r="K15" s="24">
        <v>4684</v>
      </c>
      <c r="L15" s="24">
        <v>4356.2410000000009</v>
      </c>
      <c r="M15" s="24">
        <v>4847.8150000000005</v>
      </c>
      <c r="N15" s="25">
        <f t="shared" si="0"/>
        <v>60501.79</v>
      </c>
    </row>
    <row r="16" spans="1:14" ht="15" x14ac:dyDescent="0.2">
      <c r="A16" s="9" t="s">
        <v>14</v>
      </c>
      <c r="B16" s="3">
        <v>165.47800000000001</v>
      </c>
      <c r="C16" s="2">
        <v>145.26</v>
      </c>
      <c r="D16" s="2">
        <v>163.99799999999999</v>
      </c>
      <c r="E16" s="2">
        <v>173.143</v>
      </c>
      <c r="F16" s="2">
        <v>170.232</v>
      </c>
      <c r="G16" s="2">
        <v>166.39599999999999</v>
      </c>
      <c r="H16" s="2">
        <v>163.66999999999999</v>
      </c>
      <c r="I16" s="2">
        <v>166.751</v>
      </c>
      <c r="J16" s="2">
        <v>170.80500000000001</v>
      </c>
      <c r="K16" s="2">
        <v>131.68299999999999</v>
      </c>
      <c r="L16" s="2">
        <v>128.328</v>
      </c>
      <c r="M16" s="2">
        <v>133.83000000000001</v>
      </c>
      <c r="N16" s="4">
        <f t="shared" si="0"/>
        <v>1879.5739999999998</v>
      </c>
    </row>
    <row r="17" spans="1:14" ht="15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</row>
    <row r="18" spans="1:14" ht="15" x14ac:dyDescent="0.2">
      <c r="A18" s="9" t="s">
        <v>16</v>
      </c>
      <c r="B18" s="3">
        <v>98.183000000000007</v>
      </c>
      <c r="C18" s="2">
        <v>98.259</v>
      </c>
      <c r="D18" s="2">
        <v>103.458</v>
      </c>
      <c r="E18" s="2">
        <v>111.877</v>
      </c>
      <c r="F18" s="2">
        <v>104.733</v>
      </c>
      <c r="G18" s="2">
        <v>97.063999999999993</v>
      </c>
      <c r="H18" s="2">
        <v>95.266999999999996</v>
      </c>
      <c r="I18" s="2">
        <v>86.134</v>
      </c>
      <c r="J18" s="2">
        <v>76.126999999999995</v>
      </c>
      <c r="K18" s="2">
        <v>90.33</v>
      </c>
      <c r="L18" s="2">
        <v>86.320999999999998</v>
      </c>
      <c r="M18" s="2">
        <v>96.846999999999994</v>
      </c>
      <c r="N18" s="4">
        <f t="shared" si="0"/>
        <v>1144.5999999999999</v>
      </c>
    </row>
    <row r="19" spans="1:14" ht="15" x14ac:dyDescent="0.2">
      <c r="A19" s="9" t="s">
        <v>17</v>
      </c>
      <c r="B19" s="3">
        <v>55.104999999999997</v>
      </c>
      <c r="C19" s="2">
        <v>45.774999999999999</v>
      </c>
      <c r="D19" s="2">
        <v>50.448999999999998</v>
      </c>
      <c r="E19" s="2">
        <v>49.753999999999998</v>
      </c>
      <c r="F19" s="2">
        <v>50.37</v>
      </c>
      <c r="G19" s="2">
        <v>49.222999999999999</v>
      </c>
      <c r="H19" s="2">
        <v>45.53</v>
      </c>
      <c r="I19" s="2">
        <v>48.485999999999997</v>
      </c>
      <c r="J19" s="2">
        <v>43.424999999999997</v>
      </c>
      <c r="K19" s="2">
        <v>42.222999999999999</v>
      </c>
      <c r="L19" s="2">
        <v>43.072000000000003</v>
      </c>
      <c r="M19" s="2">
        <v>44.475000000000001</v>
      </c>
      <c r="N19" s="4">
        <f t="shared" si="0"/>
        <v>567.88700000000006</v>
      </c>
    </row>
    <row r="20" spans="1:14" ht="15" x14ac:dyDescent="0.2">
      <c r="A20" s="9" t="s">
        <v>18</v>
      </c>
      <c r="B20" s="3">
        <v>27.048999999999999</v>
      </c>
      <c r="C20" s="2">
        <v>10.792999999999999</v>
      </c>
      <c r="D20" s="2">
        <v>39.959000000000003</v>
      </c>
      <c r="E20" s="2">
        <v>36.156999999999996</v>
      </c>
      <c r="F20" s="2">
        <v>31.379000000000001</v>
      </c>
      <c r="G20" s="2">
        <v>32.466000000000001</v>
      </c>
      <c r="H20" s="2">
        <v>26.782</v>
      </c>
      <c r="I20" s="2">
        <v>24.108000000000001</v>
      </c>
      <c r="J20" s="2">
        <v>17.199000000000002</v>
      </c>
      <c r="K20" s="2">
        <v>25.507999999999999</v>
      </c>
      <c r="L20" s="2">
        <v>34.729999999999997</v>
      </c>
      <c r="M20" s="2">
        <v>38.954000000000001</v>
      </c>
      <c r="N20" s="4">
        <f t="shared" si="0"/>
        <v>345.08400000000006</v>
      </c>
    </row>
    <row r="21" spans="1:14" ht="15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14" ht="15" x14ac:dyDescent="0.2">
      <c r="A22" s="9" t="s">
        <v>20</v>
      </c>
      <c r="B22" s="3">
        <v>117.07899999999999</v>
      </c>
      <c r="C22" s="2">
        <v>119.79600000000001</v>
      </c>
      <c r="D22" s="2">
        <v>118.279</v>
      </c>
      <c r="E22" s="2">
        <v>62.78</v>
      </c>
      <c r="F22" s="2">
        <v>80.350999999999999</v>
      </c>
      <c r="G22" s="2">
        <v>115.107</v>
      </c>
      <c r="H22" s="2">
        <v>114.63200000000001</v>
      </c>
      <c r="I22" s="2">
        <v>114.19799999999999</v>
      </c>
      <c r="J22" s="2">
        <v>105.65600000000001</v>
      </c>
      <c r="K22" s="2">
        <v>115.321</v>
      </c>
      <c r="L22" s="2">
        <v>105.29300000000001</v>
      </c>
      <c r="M22" s="2">
        <v>118.73699999999999</v>
      </c>
      <c r="N22" s="4">
        <f t="shared" si="0"/>
        <v>1287.2289999999998</v>
      </c>
    </row>
    <row r="23" spans="1:14" ht="15" x14ac:dyDescent="0.2">
      <c r="A23" s="9" t="s">
        <v>21</v>
      </c>
      <c r="B23" s="3">
        <v>5.2450000000000001</v>
      </c>
      <c r="C23" s="2">
        <v>2.1560000000000001</v>
      </c>
      <c r="D23" s="2">
        <v>2.97</v>
      </c>
      <c r="E23" s="2">
        <v>4.3109999999999999</v>
      </c>
      <c r="F23" s="2">
        <v>6.3109999999999999</v>
      </c>
      <c r="G23" s="2">
        <v>1.3149999999999999</v>
      </c>
      <c r="H23" s="2">
        <v>7.4470000000000001</v>
      </c>
      <c r="I23" s="2">
        <v>5.9219999999999997</v>
      </c>
      <c r="J23" s="2">
        <v>7.0679999999999996</v>
      </c>
      <c r="K23" s="2">
        <v>5.4180000000000001</v>
      </c>
      <c r="L23" s="2">
        <v>5.266</v>
      </c>
      <c r="M23" s="2">
        <v>6.1769999999999996</v>
      </c>
      <c r="N23" s="4">
        <f t="shared" si="0"/>
        <v>59.605999999999995</v>
      </c>
    </row>
    <row r="24" spans="1:14" ht="15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14" ht="15" x14ac:dyDescent="0.2">
      <c r="A25" s="9" t="s">
        <v>23</v>
      </c>
      <c r="B25" s="3">
        <v>568.20500000000004</v>
      </c>
      <c r="C25" s="2">
        <v>486.09100000000012</v>
      </c>
      <c r="D25" s="2">
        <v>511.81299999999999</v>
      </c>
      <c r="E25" s="2">
        <v>540.90599999999995</v>
      </c>
      <c r="F25" s="2">
        <v>602.25799999999992</v>
      </c>
      <c r="G25" s="2">
        <v>513.42600000000004</v>
      </c>
      <c r="H25" s="2">
        <v>522.70800000000008</v>
      </c>
      <c r="I25" s="2">
        <v>532.29099999999994</v>
      </c>
      <c r="J25" s="2">
        <v>518.65499999999997</v>
      </c>
      <c r="K25" s="2">
        <v>443.49</v>
      </c>
      <c r="L25" s="2">
        <v>408.613</v>
      </c>
      <c r="M25" s="2">
        <v>475.62099999999998</v>
      </c>
      <c r="N25" s="4">
        <f t="shared" si="0"/>
        <v>6124.0770000000002</v>
      </c>
    </row>
    <row r="26" spans="1:14" ht="15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14" ht="15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14" ht="15" x14ac:dyDescent="0.2">
      <c r="A28" s="9" t="s">
        <v>26</v>
      </c>
      <c r="B28" s="3">
        <v>12.252000000000001</v>
      </c>
      <c r="C28" s="2">
        <v>17.509</v>
      </c>
      <c r="D28" s="2">
        <v>24.402000000000001</v>
      </c>
      <c r="E28" s="2">
        <v>1.18</v>
      </c>
      <c r="F28" s="2">
        <v>15.55</v>
      </c>
      <c r="G28" s="2">
        <v>13.252000000000001</v>
      </c>
      <c r="H28" s="2">
        <v>14.601000000000001</v>
      </c>
      <c r="I28" s="2">
        <v>14.494</v>
      </c>
      <c r="J28" s="2">
        <v>4.0149999999999997</v>
      </c>
      <c r="K28" s="2">
        <v>10.840999999999999</v>
      </c>
      <c r="L28" s="2">
        <v>6.149</v>
      </c>
      <c r="M28" s="2">
        <v>14.705</v>
      </c>
      <c r="N28" s="4">
        <f t="shared" si="0"/>
        <v>148.95000000000002</v>
      </c>
    </row>
    <row r="29" spans="1:14" ht="15" x14ac:dyDescent="0.2">
      <c r="A29" s="9" t="s">
        <v>27</v>
      </c>
      <c r="B29" s="3">
        <v>0</v>
      </c>
      <c r="C29" s="2">
        <v>0</v>
      </c>
      <c r="D29" s="2">
        <v>4.0000000000000001E-3</v>
      </c>
      <c r="E29" s="2">
        <v>4.0000000000000001E-3</v>
      </c>
      <c r="F29" s="2">
        <v>0</v>
      </c>
      <c r="G29" s="2">
        <v>6.0000000000000001E-3</v>
      </c>
      <c r="H29" s="2">
        <v>4.0000000000000001E-3</v>
      </c>
      <c r="I29" s="2">
        <v>0</v>
      </c>
      <c r="J29" s="2">
        <v>0</v>
      </c>
      <c r="K29" s="2">
        <v>4.0000000000000001E-3</v>
      </c>
      <c r="L29" s="2">
        <v>0</v>
      </c>
      <c r="M29" s="2">
        <v>0</v>
      </c>
      <c r="N29" s="4">
        <f t="shared" si="0"/>
        <v>2.2000000000000002E-2</v>
      </c>
    </row>
    <row r="30" spans="1:14" ht="15" x14ac:dyDescent="0.2">
      <c r="A30" s="9" t="s">
        <v>28</v>
      </c>
      <c r="B30" s="3">
        <v>736.22199999999998</v>
      </c>
      <c r="C30" s="2">
        <v>608.88599999999997</v>
      </c>
      <c r="D30" s="2">
        <v>683.322</v>
      </c>
      <c r="E30" s="2">
        <v>776.01900000000001</v>
      </c>
      <c r="F30" s="2">
        <v>786.34299999999996</v>
      </c>
      <c r="G30" s="2">
        <v>756.67</v>
      </c>
      <c r="H30" s="2">
        <v>770.65899999999999</v>
      </c>
      <c r="I30" s="2">
        <v>689.99099999999999</v>
      </c>
      <c r="J30" s="2">
        <v>700.88199999999995</v>
      </c>
      <c r="K30" s="2">
        <v>653.52</v>
      </c>
      <c r="L30" s="2">
        <v>613.87699999999995</v>
      </c>
      <c r="M30" s="2">
        <v>701.23800000000006</v>
      </c>
      <c r="N30" s="4">
        <f t="shared" si="0"/>
        <v>8477.628999999999</v>
      </c>
    </row>
    <row r="31" spans="1:14" ht="15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3.0000000000000001E-3</v>
      </c>
      <c r="K31" s="2">
        <v>0</v>
      </c>
      <c r="L31" s="2">
        <v>0</v>
      </c>
      <c r="M31" s="2">
        <v>0</v>
      </c>
      <c r="N31" s="4">
        <f t="shared" si="0"/>
        <v>3.0000000000000001E-3</v>
      </c>
    </row>
    <row r="32" spans="1:14" ht="15" x14ac:dyDescent="0.2">
      <c r="A32" s="9" t="s">
        <v>30</v>
      </c>
      <c r="B32" s="3">
        <v>198.42400000000001</v>
      </c>
      <c r="C32" s="2">
        <v>181.654</v>
      </c>
      <c r="D32" s="2">
        <v>184.19399999999999</v>
      </c>
      <c r="E32" s="2">
        <v>227.01400000000001</v>
      </c>
      <c r="F32" s="2">
        <v>214.035</v>
      </c>
      <c r="G32" s="2">
        <v>201.15</v>
      </c>
      <c r="H32" s="2">
        <v>206.96700000000001</v>
      </c>
      <c r="I32" s="2">
        <v>256.16899999999998</v>
      </c>
      <c r="J32" s="2">
        <v>223.11500000000001</v>
      </c>
      <c r="K32" s="2">
        <v>201.33199999999999</v>
      </c>
      <c r="L32" s="2">
        <v>173.09299999999999</v>
      </c>
      <c r="M32" s="2">
        <v>169.779</v>
      </c>
      <c r="N32" s="4">
        <f t="shared" si="0"/>
        <v>2436.9259999999999</v>
      </c>
    </row>
    <row r="33" spans="1:14" ht="15" x14ac:dyDescent="0.2">
      <c r="A33" s="9" t="s">
        <v>31</v>
      </c>
      <c r="B33" s="3">
        <v>41.912999999999997</v>
      </c>
      <c r="C33" s="2">
        <v>34.866</v>
      </c>
      <c r="D33" s="2">
        <v>34.722999999999999</v>
      </c>
      <c r="E33" s="2">
        <v>40.853000000000002</v>
      </c>
      <c r="F33" s="2">
        <v>31.398</v>
      </c>
      <c r="G33" s="2">
        <v>28.413</v>
      </c>
      <c r="H33" s="2">
        <v>25.988</v>
      </c>
      <c r="I33" s="2">
        <v>36.838999999999999</v>
      </c>
      <c r="J33" s="2">
        <v>28.533999999999999</v>
      </c>
      <c r="K33" s="2">
        <v>32.152000000000001</v>
      </c>
      <c r="L33" s="2">
        <v>38.814999999999998</v>
      </c>
      <c r="M33" s="2">
        <v>35.606000000000002</v>
      </c>
      <c r="N33" s="4">
        <f t="shared" si="0"/>
        <v>410.09999999999997</v>
      </c>
    </row>
    <row r="34" spans="1:14" ht="15" x14ac:dyDescent="0.2">
      <c r="A34" s="9" t="s">
        <v>32</v>
      </c>
      <c r="B34" s="3">
        <v>1.7490000000000001</v>
      </c>
      <c r="C34" s="2">
        <v>5.3869999999999996</v>
      </c>
      <c r="D34" s="2">
        <v>1.7989999999999999</v>
      </c>
      <c r="E34" s="2">
        <v>0.35499999999999998</v>
      </c>
      <c r="F34" s="2">
        <v>0.11899999999999999</v>
      </c>
      <c r="G34" s="2">
        <v>0.33500000000000002</v>
      </c>
      <c r="H34" s="2">
        <v>0</v>
      </c>
      <c r="I34" s="2">
        <v>0.217</v>
      </c>
      <c r="J34" s="2">
        <v>0</v>
      </c>
      <c r="K34" s="2">
        <v>0.24199999999999999</v>
      </c>
      <c r="L34" s="2">
        <v>0.79</v>
      </c>
      <c r="M34" s="2">
        <v>13.151</v>
      </c>
      <c r="N34" s="4">
        <f t="shared" si="0"/>
        <v>24.143999999999998</v>
      </c>
    </row>
    <row r="35" spans="1:14" ht="15" x14ac:dyDescent="0.2">
      <c r="A35" s="9" t="s">
        <v>33</v>
      </c>
      <c r="B35" s="3">
        <v>0.252</v>
      </c>
      <c r="C35" s="2">
        <v>0.82399999999999995</v>
      </c>
      <c r="D35" s="2">
        <v>0.60199999999999998</v>
      </c>
      <c r="E35" s="2">
        <v>7.0000000000000001E-3</v>
      </c>
      <c r="F35" s="2">
        <v>0.02</v>
      </c>
      <c r="G35" s="2">
        <v>5.0000000000000001E-3</v>
      </c>
      <c r="H35" s="2">
        <v>0.124</v>
      </c>
      <c r="I35" s="2">
        <v>11.984</v>
      </c>
      <c r="J35" s="2">
        <v>5.0000000000000001E-3</v>
      </c>
      <c r="K35" s="2">
        <v>0</v>
      </c>
      <c r="L35" s="2">
        <v>1.4E-2</v>
      </c>
      <c r="M35" s="2">
        <v>5.5E-2</v>
      </c>
      <c r="N35" s="4">
        <f t="shared" si="0"/>
        <v>13.891999999999999</v>
      </c>
    </row>
    <row r="36" spans="1:14" ht="15" x14ac:dyDescent="0.2">
      <c r="A36" s="9" t="s">
        <v>34</v>
      </c>
      <c r="B36" s="3">
        <v>0</v>
      </c>
      <c r="C36" s="2">
        <v>2E-3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0.28899999999999998</v>
      </c>
      <c r="K36" s="2">
        <v>1.2E-2</v>
      </c>
      <c r="L36" s="2">
        <v>0</v>
      </c>
      <c r="M36" s="2">
        <v>0</v>
      </c>
      <c r="N36" s="4">
        <f t="shared" si="0"/>
        <v>0.30299999999999999</v>
      </c>
    </row>
    <row r="37" spans="1:14" ht="15" x14ac:dyDescent="0.2">
      <c r="A37" s="9" t="s">
        <v>35</v>
      </c>
      <c r="B37" s="3">
        <v>1959.086</v>
      </c>
      <c r="C37" s="2">
        <v>1863.921</v>
      </c>
      <c r="D37" s="2">
        <v>2028.876</v>
      </c>
      <c r="E37" s="2">
        <v>2085.7849999999999</v>
      </c>
      <c r="F37" s="2">
        <v>2111.4630000000002</v>
      </c>
      <c r="G37" s="2">
        <v>2049.2469999999998</v>
      </c>
      <c r="H37" s="2">
        <v>2067.8879999999999</v>
      </c>
      <c r="I37" s="2">
        <v>2023.96</v>
      </c>
      <c r="J37" s="2">
        <v>1954.172</v>
      </c>
      <c r="K37" s="2">
        <v>1889.5940000000001</v>
      </c>
      <c r="L37" s="2">
        <v>1807.3810000000001</v>
      </c>
      <c r="M37" s="2">
        <v>1918.1880000000001</v>
      </c>
      <c r="N37" s="4">
        <f t="shared" si="0"/>
        <v>23759.561000000002</v>
      </c>
    </row>
    <row r="38" spans="1:14" ht="15" x14ac:dyDescent="0.2">
      <c r="A38" s="9" t="s">
        <v>36</v>
      </c>
      <c r="B38" s="3">
        <v>5.5759999999999996</v>
      </c>
      <c r="C38" s="2">
        <v>6.3460000000000001</v>
      </c>
      <c r="D38" s="2">
        <v>17.806000000000001</v>
      </c>
      <c r="E38" s="2">
        <v>2.9830000000000001</v>
      </c>
      <c r="F38" s="2">
        <v>16.965</v>
      </c>
      <c r="G38" s="2">
        <v>9.85</v>
      </c>
      <c r="H38" s="2">
        <v>15.032999999999999</v>
      </c>
      <c r="I38" s="2">
        <v>2.831</v>
      </c>
      <c r="J38" s="2">
        <v>4.8819999999999997</v>
      </c>
      <c r="K38" s="2">
        <v>15.667999999999999</v>
      </c>
      <c r="L38" s="2">
        <v>20.907</v>
      </c>
      <c r="M38" s="2">
        <v>19.221</v>
      </c>
      <c r="N38" s="4">
        <f t="shared" si="0"/>
        <v>138.06799999999998</v>
      </c>
    </row>
    <row r="39" spans="1:14" ht="15" x14ac:dyDescent="0.2">
      <c r="A39" s="9" t="s">
        <v>37</v>
      </c>
      <c r="B39" s="3">
        <v>0</v>
      </c>
      <c r="C39" s="2">
        <v>0</v>
      </c>
      <c r="D39" s="2">
        <v>0</v>
      </c>
      <c r="E39" s="2">
        <v>3.0000000000000001E-3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3.0000000000000001E-3</v>
      </c>
    </row>
    <row r="40" spans="1:14" ht="15" x14ac:dyDescent="0.2">
      <c r="A40" s="9" t="s">
        <v>38</v>
      </c>
      <c r="B40" s="3">
        <v>35.33</v>
      </c>
      <c r="C40" s="2">
        <v>1.0880000000000001</v>
      </c>
      <c r="D40" s="2">
        <v>3.5219999999999998</v>
      </c>
      <c r="E40" s="2">
        <v>22.042000000000002</v>
      </c>
      <c r="F40" s="2">
        <v>3.298</v>
      </c>
      <c r="G40" s="2">
        <v>4.7969999999999997</v>
      </c>
      <c r="H40" s="2">
        <v>2.39</v>
      </c>
      <c r="I40" s="2">
        <v>2.8159999999999998</v>
      </c>
      <c r="J40" s="2">
        <v>2.9569999999999999</v>
      </c>
      <c r="K40" s="2">
        <v>18.864999999999998</v>
      </c>
      <c r="L40" s="2">
        <v>0</v>
      </c>
      <c r="M40" s="2">
        <v>0.85499999999999998</v>
      </c>
      <c r="N40" s="4">
        <f t="shared" si="0"/>
        <v>97.96</v>
      </c>
    </row>
    <row r="41" spans="1:14" ht="15" x14ac:dyDescent="0.2">
      <c r="A41" s="9" t="s">
        <v>39</v>
      </c>
      <c r="B41" s="3">
        <v>1.0580000000000001</v>
      </c>
      <c r="C41" s="2">
        <v>0.41699999999999998</v>
      </c>
      <c r="D41" s="2">
        <v>1.984</v>
      </c>
      <c r="E41" s="2">
        <v>0.40100000000000002</v>
      </c>
      <c r="F41" s="2">
        <v>0.26600000000000001</v>
      </c>
      <c r="G41" s="2">
        <v>0.61299999999999999</v>
      </c>
      <c r="H41" s="2">
        <v>0.92</v>
      </c>
      <c r="I41" s="2">
        <v>2.3029999999999999</v>
      </c>
      <c r="J41" s="2">
        <v>0.70799999999999996</v>
      </c>
      <c r="K41" s="2">
        <v>0</v>
      </c>
      <c r="L41" s="2">
        <v>0</v>
      </c>
      <c r="M41" s="2">
        <v>1.6140000000000001</v>
      </c>
      <c r="N41" s="4">
        <f t="shared" si="0"/>
        <v>10.284000000000001</v>
      </c>
    </row>
    <row r="42" spans="1:14" ht="15" x14ac:dyDescent="0.2">
      <c r="A42" s="9" t="s">
        <v>57</v>
      </c>
      <c r="B42" s="3">
        <v>43.656999999999996</v>
      </c>
      <c r="C42" s="2">
        <v>49.548999999999999</v>
      </c>
      <c r="D42" s="2">
        <v>7.4829999999999997</v>
      </c>
      <c r="E42" s="2">
        <v>14.86</v>
      </c>
      <c r="F42" s="2">
        <v>0.33800000000000002</v>
      </c>
      <c r="G42" s="2">
        <v>16.535</v>
      </c>
      <c r="H42" s="2">
        <v>37.976999999999997</v>
      </c>
      <c r="I42" s="2">
        <v>12.254</v>
      </c>
      <c r="J42" s="2">
        <v>27.024999999999999</v>
      </c>
      <c r="K42" s="2">
        <v>23.164999999999999</v>
      </c>
      <c r="L42" s="2">
        <v>21.701000000000001</v>
      </c>
      <c r="M42" s="2">
        <v>8.0790000000000006</v>
      </c>
      <c r="N42" s="4">
        <f t="shared" si="0"/>
        <v>262.62299999999999</v>
      </c>
    </row>
    <row r="43" spans="1:14" ht="15" x14ac:dyDescent="0.2">
      <c r="A43" s="9" t="s">
        <v>40</v>
      </c>
      <c r="B43" s="3">
        <v>444.08699999999999</v>
      </c>
      <c r="C43" s="2">
        <v>378.28300000000002</v>
      </c>
      <c r="D43" s="2">
        <v>409.01100000000002</v>
      </c>
      <c r="E43" s="2">
        <v>459.93</v>
      </c>
      <c r="F43" s="2">
        <v>433.91300000000001</v>
      </c>
      <c r="G43" s="2">
        <v>459.05500000000001</v>
      </c>
      <c r="H43" s="2">
        <v>439.62200000000001</v>
      </c>
      <c r="I43" s="2">
        <v>404.47800000000001</v>
      </c>
      <c r="J43" s="2">
        <v>376.23599999999999</v>
      </c>
      <c r="K43" s="2">
        <v>351.55600000000004</v>
      </c>
      <c r="L43" s="2">
        <v>304.53199999999998</v>
      </c>
      <c r="M43" s="2">
        <v>464.65199999999999</v>
      </c>
      <c r="N43" s="4">
        <f t="shared" si="0"/>
        <v>4925.3550000000005</v>
      </c>
    </row>
    <row r="44" spans="1:14" ht="15" x14ac:dyDescent="0.2">
      <c r="A44" s="9" t="s">
        <v>41</v>
      </c>
      <c r="B44" s="3">
        <v>11.666</v>
      </c>
      <c r="C44" s="2">
        <v>13.09</v>
      </c>
      <c r="D44" s="2">
        <v>16.361000000000001</v>
      </c>
      <c r="E44" s="2">
        <v>12.619</v>
      </c>
      <c r="F44" s="2">
        <v>18.597000000000001</v>
      </c>
      <c r="G44" s="2">
        <v>17.544</v>
      </c>
      <c r="H44" s="2">
        <v>18.922000000000001</v>
      </c>
      <c r="I44" s="2">
        <v>16.763000000000002</v>
      </c>
      <c r="J44" s="2">
        <v>15.744999999999999</v>
      </c>
      <c r="K44" s="2">
        <v>17.259</v>
      </c>
      <c r="L44" s="2">
        <v>15.574999999999999</v>
      </c>
      <c r="M44" s="2">
        <v>16.506</v>
      </c>
      <c r="N44" s="4">
        <f t="shared" si="0"/>
        <v>190.64699999999996</v>
      </c>
    </row>
    <row r="45" spans="1:14" ht="15" x14ac:dyDescent="0.2">
      <c r="A45" s="9" t="s">
        <v>42</v>
      </c>
      <c r="B45" s="3">
        <v>144.77699999999999</v>
      </c>
      <c r="C45" s="2">
        <v>123.7</v>
      </c>
      <c r="D45" s="2">
        <v>137.30600000000001</v>
      </c>
      <c r="E45" s="2">
        <v>198.11</v>
      </c>
      <c r="F45" s="2">
        <v>193.13300000000001</v>
      </c>
      <c r="G45" s="2">
        <v>192.63200000000001</v>
      </c>
      <c r="H45" s="2">
        <v>176.40600000000001</v>
      </c>
      <c r="I45" s="2">
        <v>164.952</v>
      </c>
      <c r="J45" s="2">
        <v>249.839</v>
      </c>
      <c r="K45" s="2">
        <v>199.738</v>
      </c>
      <c r="L45" s="2">
        <v>161.69300000000001</v>
      </c>
      <c r="M45" s="2">
        <v>131.59700000000001</v>
      </c>
      <c r="N45" s="4">
        <f t="shared" si="0"/>
        <v>2073.8830000000003</v>
      </c>
    </row>
    <row r="46" spans="1:14" ht="15" x14ac:dyDescent="0.2">
      <c r="A46" s="9" t="s">
        <v>43</v>
      </c>
      <c r="B46" s="3">
        <v>12.59</v>
      </c>
      <c r="C46" s="2">
        <v>10.23</v>
      </c>
      <c r="D46" s="2">
        <v>13.759</v>
      </c>
      <c r="E46" s="2">
        <v>12.698</v>
      </c>
      <c r="F46" s="2">
        <v>12.32</v>
      </c>
      <c r="G46" s="2">
        <v>13.284000000000001</v>
      </c>
      <c r="H46" s="2">
        <v>13.792</v>
      </c>
      <c r="I46" s="2">
        <v>10.464</v>
      </c>
      <c r="J46" s="2">
        <v>17.861000000000001</v>
      </c>
      <c r="K46" s="2">
        <v>19.655999999999999</v>
      </c>
      <c r="L46" s="2">
        <v>23.294</v>
      </c>
      <c r="M46" s="2">
        <v>20.239999999999998</v>
      </c>
      <c r="N46" s="4">
        <f t="shared" si="0"/>
        <v>180.18800000000002</v>
      </c>
    </row>
    <row r="47" spans="1:14" ht="15" x14ac:dyDescent="0.2">
      <c r="A47" s="9" t="s">
        <v>44</v>
      </c>
      <c r="B47" s="3">
        <v>3.331</v>
      </c>
      <c r="C47" s="2">
        <v>2.8820000000000001</v>
      </c>
      <c r="D47" s="2">
        <v>3.3820000000000001</v>
      </c>
      <c r="E47" s="2">
        <v>2.992</v>
      </c>
      <c r="F47" s="2">
        <v>2.714</v>
      </c>
      <c r="G47" s="2">
        <v>3.129</v>
      </c>
      <c r="H47" s="2">
        <v>3.5379999999999998</v>
      </c>
      <c r="I47" s="2">
        <v>2.4900000000000002</v>
      </c>
      <c r="J47" s="2">
        <v>3.5059999999999998</v>
      </c>
      <c r="K47" s="2">
        <v>3.9049999999999998</v>
      </c>
      <c r="L47" s="2">
        <v>2.7040000000000002</v>
      </c>
      <c r="M47" s="2">
        <v>1.698</v>
      </c>
      <c r="N47" s="4">
        <f t="shared" si="0"/>
        <v>36.271000000000001</v>
      </c>
    </row>
    <row r="48" spans="1:14" ht="15" x14ac:dyDescent="0.2">
      <c r="A48" s="9" t="s">
        <v>45</v>
      </c>
      <c r="B48" s="3">
        <v>288.54399999999998</v>
      </c>
      <c r="C48" s="2">
        <v>261.37799999999999</v>
      </c>
      <c r="D48" s="2">
        <v>272.255</v>
      </c>
      <c r="E48" s="2">
        <v>278.38499999999999</v>
      </c>
      <c r="F48" s="2">
        <v>291.49</v>
      </c>
      <c r="G48" s="2">
        <v>293.41899999999998</v>
      </c>
      <c r="H48" s="2">
        <v>297.959</v>
      </c>
      <c r="I48" s="2">
        <v>293.33499999999998</v>
      </c>
      <c r="J48" s="2">
        <v>290.51299999999998</v>
      </c>
      <c r="K48" s="2">
        <v>303.399</v>
      </c>
      <c r="L48" s="2">
        <v>289.58199999999999</v>
      </c>
      <c r="M48" s="2">
        <v>276.03100000000001</v>
      </c>
      <c r="N48" s="4">
        <f t="shared" si="0"/>
        <v>3436.2899999999995</v>
      </c>
    </row>
    <row r="49" spans="1:14" ht="15" x14ac:dyDescent="0.2">
      <c r="A49" s="10" t="s">
        <v>52</v>
      </c>
      <c r="B49" s="7">
        <v>187.63600000000002</v>
      </c>
      <c r="C49" s="5">
        <v>300.09800000000001</v>
      </c>
      <c r="D49" s="5">
        <v>221.28300000000036</v>
      </c>
      <c r="E49" s="5">
        <v>263.83199999999943</v>
      </c>
      <c r="F49" s="5">
        <v>397.40400000000227</v>
      </c>
      <c r="G49" s="5">
        <v>140.06700000000183</v>
      </c>
      <c r="H49" s="5">
        <v>288.17399999999998</v>
      </c>
      <c r="I49" s="5">
        <v>233.77000000000044</v>
      </c>
      <c r="J49" s="5">
        <v>144.77800000000025</v>
      </c>
      <c r="K49" s="5">
        <v>89.118999999999687</v>
      </c>
      <c r="L49" s="5">
        <v>64.511000000000024</v>
      </c>
      <c r="M49" s="5">
        <v>139.95899999999997</v>
      </c>
      <c r="N49" s="6">
        <f t="shared" si="0"/>
        <v>2470.631000000004</v>
      </c>
    </row>
    <row r="50" spans="1:14" x14ac:dyDescent="0.2">
      <c r="B50">
        <v>5164.4940000000015</v>
      </c>
      <c r="C50">
        <v>4768.2399999999989</v>
      </c>
      <c r="D50">
        <v>5053</v>
      </c>
      <c r="E50">
        <v>5379</v>
      </c>
      <c r="F50">
        <v>5575</v>
      </c>
      <c r="G50">
        <v>5175</v>
      </c>
      <c r="H50">
        <v>5357</v>
      </c>
      <c r="I50" s="1">
        <v>5158</v>
      </c>
      <c r="J50" s="1">
        <v>4984</v>
      </c>
      <c r="K50" s="1">
        <v>4684</v>
      </c>
      <c r="L50">
        <v>4356.2410000000009</v>
      </c>
      <c r="M50">
        <v>4847.8150000000005</v>
      </c>
    </row>
    <row r="53" spans="1:14" x14ac:dyDescent="0.2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</row>
    <row r="54" spans="1:14" x14ac:dyDescent="0.2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</row>
    <row r="55" spans="1:14" x14ac:dyDescent="0.2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</row>
    <row r="56" spans="1:14" x14ac:dyDescent="0.2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N56"/>
  <sheetViews>
    <sheetView showGridLines="0" zoomScale="70" zoomScaleNormal="70" workbookViewId="0">
      <pane xSplit="1" topLeftCell="B1" activePane="topRight" state="frozen"/>
      <selection activeCell="A35" sqref="A35"/>
      <selection pane="top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8.375" customWidth="1"/>
  </cols>
  <sheetData>
    <row r="1" spans="1:14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20.25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16" customFormat="1" ht="21" customHeight="1" x14ac:dyDescent="0.2">
      <c r="A4" s="11" t="s">
        <v>13</v>
      </c>
      <c r="B4" s="12">
        <v>41640</v>
      </c>
      <c r="C4" s="13">
        <v>41671</v>
      </c>
      <c r="D4" s="13">
        <v>41699</v>
      </c>
      <c r="E4" s="13">
        <v>41730</v>
      </c>
      <c r="F4" s="13">
        <v>41760</v>
      </c>
      <c r="G4" s="13">
        <v>41791</v>
      </c>
      <c r="H4" s="13">
        <v>41821</v>
      </c>
      <c r="I4" s="14">
        <v>41852</v>
      </c>
      <c r="J4" s="14">
        <v>41883</v>
      </c>
      <c r="K4" s="14">
        <v>41913</v>
      </c>
      <c r="L4" s="13">
        <v>41944</v>
      </c>
      <c r="M4" s="13">
        <v>41974</v>
      </c>
      <c r="N4" s="15" t="s">
        <v>47</v>
      </c>
    </row>
    <row r="5" spans="1:14" s="21" customFormat="1" ht="21" customHeight="1" x14ac:dyDescent="0.2">
      <c r="A5" s="17" t="s">
        <v>0</v>
      </c>
      <c r="B5" s="18">
        <v>30.646999999999998</v>
      </c>
      <c r="C5" s="19">
        <v>26.594000000000001</v>
      </c>
      <c r="D5" s="19">
        <v>28.388999999999999</v>
      </c>
      <c r="E5" s="19">
        <v>31.491</v>
      </c>
      <c r="F5" s="19">
        <v>31.699000000000002</v>
      </c>
      <c r="G5" s="19">
        <v>28.474</v>
      </c>
      <c r="H5" s="19">
        <v>28.013000000000002</v>
      </c>
      <c r="I5" s="19">
        <v>29.239000000000001</v>
      </c>
      <c r="J5" s="19">
        <v>15.081</v>
      </c>
      <c r="K5" s="19">
        <v>24.795999999999999</v>
      </c>
      <c r="L5" s="19">
        <v>17.120999999999999</v>
      </c>
      <c r="M5" s="19">
        <v>13.867000000000001</v>
      </c>
      <c r="N5" s="20">
        <f t="shared" ref="N5:N49" si="0">SUM(B5:M5)</f>
        <v>305.411</v>
      </c>
    </row>
    <row r="6" spans="1:14" s="21" customFormat="1" ht="21" customHeight="1" x14ac:dyDescent="0.2">
      <c r="A6" s="22" t="s">
        <v>1</v>
      </c>
      <c r="B6" s="23">
        <v>5020</v>
      </c>
      <c r="C6" s="24">
        <v>4227</v>
      </c>
      <c r="D6" s="24">
        <v>4727</v>
      </c>
      <c r="E6" s="24">
        <v>4811</v>
      </c>
      <c r="F6" s="24">
        <v>5525</v>
      </c>
      <c r="G6" s="24">
        <v>4754</v>
      </c>
      <c r="H6" s="24">
        <v>4761</v>
      </c>
      <c r="I6" s="24">
        <v>5037</v>
      </c>
      <c r="J6" s="24">
        <v>4954</v>
      </c>
      <c r="K6" s="24">
        <v>5305</v>
      </c>
      <c r="L6" s="24">
        <v>4490</v>
      </c>
      <c r="M6" s="24">
        <v>5443</v>
      </c>
      <c r="N6" s="25">
        <f t="shared" si="0"/>
        <v>59054</v>
      </c>
    </row>
    <row r="7" spans="1:14" s="21" customFormat="1" ht="21" customHeight="1" x14ac:dyDescent="0.2">
      <c r="A7" s="26" t="s">
        <v>2</v>
      </c>
      <c r="B7" s="27">
        <v>107</v>
      </c>
      <c r="C7" s="28">
        <v>327</v>
      </c>
      <c r="D7" s="28">
        <v>351</v>
      </c>
      <c r="E7" s="28">
        <v>152</v>
      </c>
      <c r="F7" s="28">
        <v>37</v>
      </c>
      <c r="G7" s="28">
        <v>122</v>
      </c>
      <c r="H7" s="28">
        <v>173</v>
      </c>
      <c r="I7" s="28">
        <v>187</v>
      </c>
      <c r="J7" s="28">
        <v>69</v>
      </c>
      <c r="K7" s="28">
        <v>193</v>
      </c>
      <c r="L7" s="28">
        <v>1</v>
      </c>
      <c r="M7" s="28">
        <v>-86</v>
      </c>
      <c r="N7" s="29">
        <f t="shared" si="0"/>
        <v>1633</v>
      </c>
    </row>
    <row r="8" spans="1:14" s="21" customFormat="1" ht="21" customHeight="1" x14ac:dyDescent="0.2">
      <c r="A8" s="26" t="s">
        <v>3</v>
      </c>
      <c r="B8" s="27">
        <v>521</v>
      </c>
      <c r="C8" s="28">
        <v>-100</v>
      </c>
      <c r="D8" s="28">
        <v>-129</v>
      </c>
      <c r="E8" s="28">
        <v>187</v>
      </c>
      <c r="F8" s="28">
        <v>227</v>
      </c>
      <c r="G8" s="28">
        <v>-266</v>
      </c>
      <c r="H8" s="28">
        <v>-186</v>
      </c>
      <c r="I8" s="28">
        <v>-67</v>
      </c>
      <c r="J8" s="28">
        <v>164</v>
      </c>
      <c r="K8" s="28">
        <v>242</v>
      </c>
      <c r="L8" s="28">
        <v>-399</v>
      </c>
      <c r="M8" s="28">
        <v>136</v>
      </c>
      <c r="N8" s="29">
        <f t="shared" si="0"/>
        <v>330</v>
      </c>
    </row>
    <row r="9" spans="1:14" s="21" customFormat="1" ht="21" customHeight="1" x14ac:dyDescent="0.2">
      <c r="A9" s="26" t="s">
        <v>4</v>
      </c>
      <c r="B9" s="27">
        <v>-7</v>
      </c>
      <c r="C9" s="28">
        <v>-129</v>
      </c>
      <c r="D9" s="28">
        <v>190</v>
      </c>
      <c r="E9" s="28">
        <v>-145</v>
      </c>
      <c r="F9" s="28">
        <v>82</v>
      </c>
      <c r="G9" s="28">
        <v>-60</v>
      </c>
      <c r="H9" s="28">
        <v>-52</v>
      </c>
      <c r="I9" s="28">
        <v>198</v>
      </c>
      <c r="J9" s="28">
        <v>-5</v>
      </c>
      <c r="K9" s="28">
        <v>205</v>
      </c>
      <c r="L9" s="28">
        <v>-150</v>
      </c>
      <c r="M9" s="28">
        <v>-128</v>
      </c>
      <c r="N9" s="29">
        <f t="shared" si="0"/>
        <v>-1</v>
      </c>
    </row>
    <row r="10" spans="1:14" s="21" customFormat="1" ht="21" customHeight="1" x14ac:dyDescent="0.2">
      <c r="A10" s="26" t="s">
        <v>5</v>
      </c>
      <c r="B10" s="27">
        <v>34</v>
      </c>
      <c r="C10" s="28">
        <v>22</v>
      </c>
      <c r="D10" s="28">
        <v>74</v>
      </c>
      <c r="E10" s="28">
        <v>21</v>
      </c>
      <c r="F10" s="28">
        <v>56</v>
      </c>
      <c r="G10" s="28">
        <v>38</v>
      </c>
      <c r="H10" s="28">
        <v>71</v>
      </c>
      <c r="I10" s="28">
        <v>84</v>
      </c>
      <c r="J10" s="28">
        <v>42</v>
      </c>
      <c r="K10" s="28">
        <v>17</v>
      </c>
      <c r="L10" s="28">
        <v>16</v>
      </c>
      <c r="M10" s="28">
        <v>38</v>
      </c>
      <c r="N10" s="29">
        <f t="shared" si="0"/>
        <v>513</v>
      </c>
    </row>
    <row r="11" spans="1:14" s="21" customFormat="1" ht="21" customHeight="1" x14ac:dyDescent="0.2">
      <c r="A11" s="26" t="s">
        <v>6</v>
      </c>
      <c r="B11" s="27">
        <v>1</v>
      </c>
      <c r="C11" s="28">
        <v>1</v>
      </c>
      <c r="D11" s="28">
        <v>1</v>
      </c>
      <c r="E11" s="28">
        <v>1</v>
      </c>
      <c r="F11" s="28">
        <v>1</v>
      </c>
      <c r="G11" s="28">
        <v>1</v>
      </c>
      <c r="H11" s="28">
        <v>1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7</v>
      </c>
    </row>
    <row r="12" spans="1:14" s="31" customFormat="1" ht="21" customHeight="1" x14ac:dyDescent="0.2">
      <c r="A12" s="22" t="s">
        <v>7</v>
      </c>
      <c r="B12" s="24">
        <v>4676.6469999999999</v>
      </c>
      <c r="C12" s="24">
        <v>4830.5940000000001</v>
      </c>
      <c r="D12" s="24">
        <v>5118.3890000000001</v>
      </c>
      <c r="E12" s="24">
        <v>4972.491</v>
      </c>
      <c r="F12" s="24">
        <v>5339.6989999999996</v>
      </c>
      <c r="G12" s="24">
        <v>5267.4740000000002</v>
      </c>
      <c r="H12" s="24">
        <v>5270.0129999999999</v>
      </c>
      <c r="I12" s="24">
        <v>5206.2389999999996</v>
      </c>
      <c r="J12" s="24">
        <v>4921.0810000000001</v>
      </c>
      <c r="K12" s="24">
        <v>5092.7960000000003</v>
      </c>
      <c r="L12" s="24">
        <v>5073.1210000000001</v>
      </c>
      <c r="M12" s="24">
        <v>5400.8670000000002</v>
      </c>
      <c r="N12" s="25">
        <f t="shared" si="0"/>
        <v>61169.411</v>
      </c>
    </row>
    <row r="13" spans="1:14" s="21" customFormat="1" ht="21" customHeight="1" x14ac:dyDescent="0.2">
      <c r="A13" s="26" t="s">
        <v>12</v>
      </c>
      <c r="B13" s="27">
        <v>4529</v>
      </c>
      <c r="C13" s="28">
        <v>4353</v>
      </c>
      <c r="D13" s="28">
        <v>4883</v>
      </c>
      <c r="E13" s="28">
        <v>4654</v>
      </c>
      <c r="F13" s="28">
        <v>5329</v>
      </c>
      <c r="G13" s="28">
        <v>5047</v>
      </c>
      <c r="H13" s="28">
        <v>4974</v>
      </c>
      <c r="I13" s="28">
        <v>5133</v>
      </c>
      <c r="J13" s="28">
        <v>4805</v>
      </c>
      <c r="K13" s="28">
        <v>5088</v>
      </c>
      <c r="L13" s="28">
        <v>4906</v>
      </c>
      <c r="M13" s="28">
        <v>5321</v>
      </c>
      <c r="N13" s="29">
        <f t="shared" si="0"/>
        <v>59022</v>
      </c>
    </row>
    <row r="14" spans="1:14" s="21" customFormat="1" ht="21" customHeight="1" x14ac:dyDescent="0.2">
      <c r="A14" s="26" t="s">
        <v>8</v>
      </c>
      <c r="B14" s="27">
        <v>38.646999999999935</v>
      </c>
      <c r="C14" s="28">
        <v>41.020000000000437</v>
      </c>
      <c r="D14" s="28">
        <v>44.389000000000124</v>
      </c>
      <c r="E14" s="28">
        <v>47.80199999999968</v>
      </c>
      <c r="F14" s="28">
        <v>47.698999999999614</v>
      </c>
      <c r="G14" s="28">
        <v>35.47400000000016</v>
      </c>
      <c r="H14" s="28">
        <v>45.01299999999992</v>
      </c>
      <c r="I14" s="28">
        <v>48.964999999999236</v>
      </c>
      <c r="J14" s="28">
        <v>50.081000000000131</v>
      </c>
      <c r="K14" s="28">
        <v>92.890000000000327</v>
      </c>
      <c r="L14" s="28">
        <v>50.96100000000024</v>
      </c>
      <c r="M14" s="28">
        <v>63.867000000000189</v>
      </c>
      <c r="N14" s="29">
        <f t="shared" si="0"/>
        <v>606.80799999999999</v>
      </c>
    </row>
    <row r="15" spans="1:14" s="21" customFormat="1" ht="21" customHeight="1" x14ac:dyDescent="0.2">
      <c r="A15" s="22" t="s">
        <v>9</v>
      </c>
      <c r="B15" s="23">
        <v>4638</v>
      </c>
      <c r="C15" s="24">
        <v>4789.5740000000005</v>
      </c>
      <c r="D15" s="24">
        <v>5074</v>
      </c>
      <c r="E15" s="24">
        <v>4924.6890000000003</v>
      </c>
      <c r="F15" s="24">
        <v>5292</v>
      </c>
      <c r="G15" s="24">
        <v>5232</v>
      </c>
      <c r="H15" s="24">
        <v>5225</v>
      </c>
      <c r="I15" s="24">
        <v>5157.2740000000003</v>
      </c>
      <c r="J15" s="24">
        <v>4871</v>
      </c>
      <c r="K15" s="24">
        <v>4999.9059999999981</v>
      </c>
      <c r="L15" s="24">
        <v>5022.1599999999989</v>
      </c>
      <c r="M15" s="24">
        <v>5337</v>
      </c>
      <c r="N15" s="25">
        <f t="shared" si="0"/>
        <v>60562.602999999988</v>
      </c>
    </row>
    <row r="16" spans="1:14" ht="15" x14ac:dyDescent="0.2">
      <c r="A16" s="9" t="s">
        <v>14</v>
      </c>
      <c r="B16" s="3">
        <v>139.39699999999999</v>
      </c>
      <c r="C16" s="2">
        <v>151.72800000000001</v>
      </c>
      <c r="D16" s="2">
        <v>166.65</v>
      </c>
      <c r="E16" s="2">
        <v>166.68</v>
      </c>
      <c r="F16" s="2">
        <v>171.45699999999999</v>
      </c>
      <c r="G16" s="2">
        <v>159.01</v>
      </c>
      <c r="H16" s="2">
        <v>164.01599999999999</v>
      </c>
      <c r="I16" s="2">
        <v>169.345</v>
      </c>
      <c r="J16" s="2">
        <v>173.30600000000001</v>
      </c>
      <c r="K16" s="2">
        <v>170.77799999999999</v>
      </c>
      <c r="L16" s="2">
        <v>151.232</v>
      </c>
      <c r="M16" s="2">
        <v>171.76900000000001</v>
      </c>
      <c r="N16" s="4">
        <f t="shared" si="0"/>
        <v>1955.3679999999999</v>
      </c>
    </row>
    <row r="17" spans="1:14" ht="15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</row>
    <row r="18" spans="1:14" ht="15" x14ac:dyDescent="0.2">
      <c r="A18" s="9" t="s">
        <v>16</v>
      </c>
      <c r="B18" s="3">
        <v>101.821</v>
      </c>
      <c r="C18" s="2">
        <v>87.716999999999999</v>
      </c>
      <c r="D18" s="2">
        <v>104.907</v>
      </c>
      <c r="E18" s="2">
        <v>96.596000000000004</v>
      </c>
      <c r="F18" s="2">
        <v>93.08</v>
      </c>
      <c r="G18" s="2">
        <v>84.44</v>
      </c>
      <c r="H18" s="2">
        <v>88.43</v>
      </c>
      <c r="I18" s="2">
        <v>88.064999999999998</v>
      </c>
      <c r="J18" s="2">
        <v>88.352000000000004</v>
      </c>
      <c r="K18" s="2">
        <v>87.376999999999995</v>
      </c>
      <c r="L18" s="2">
        <v>90.349000000000004</v>
      </c>
      <c r="M18" s="2">
        <v>101.449</v>
      </c>
      <c r="N18" s="4">
        <f t="shared" si="0"/>
        <v>1112.5830000000001</v>
      </c>
    </row>
    <row r="19" spans="1:14" ht="15" x14ac:dyDescent="0.2">
      <c r="A19" s="9" t="s">
        <v>17</v>
      </c>
      <c r="B19" s="3">
        <v>43.59</v>
      </c>
      <c r="C19" s="2">
        <v>41.212000000000003</v>
      </c>
      <c r="D19" s="2">
        <v>42.311999999999998</v>
      </c>
      <c r="E19" s="2">
        <v>39.435000000000002</v>
      </c>
      <c r="F19" s="2">
        <v>42.087000000000003</v>
      </c>
      <c r="G19" s="2">
        <v>38.671999999999997</v>
      </c>
      <c r="H19" s="2">
        <v>37.533999999999999</v>
      </c>
      <c r="I19" s="2">
        <v>27.834</v>
      </c>
      <c r="J19" s="2">
        <v>28.033999999999999</v>
      </c>
      <c r="K19" s="2">
        <v>24.387</v>
      </c>
      <c r="L19" s="2">
        <v>45.002000000000002</v>
      </c>
      <c r="M19" s="2">
        <v>52.156999999999996</v>
      </c>
      <c r="N19" s="4">
        <f t="shared" si="0"/>
        <v>462.25600000000003</v>
      </c>
    </row>
    <row r="20" spans="1:14" ht="15" x14ac:dyDescent="0.2">
      <c r="A20" s="9" t="s">
        <v>18</v>
      </c>
      <c r="B20" s="3">
        <v>29.161999999999999</v>
      </c>
      <c r="C20" s="2">
        <v>23.803000000000001</v>
      </c>
      <c r="D20" s="2">
        <v>18.611000000000001</v>
      </c>
      <c r="E20" s="2">
        <v>28.738</v>
      </c>
      <c r="F20" s="2">
        <v>29.251999999999999</v>
      </c>
      <c r="G20" s="2">
        <v>33.094000000000001</v>
      </c>
      <c r="H20" s="2">
        <v>26.048999999999999</v>
      </c>
      <c r="I20" s="2">
        <v>22.196000000000002</v>
      </c>
      <c r="J20" s="2">
        <v>10.683</v>
      </c>
      <c r="K20" s="2">
        <v>27.954999999999998</v>
      </c>
      <c r="L20" s="2">
        <v>29.69</v>
      </c>
      <c r="M20" s="2">
        <v>24.274000000000001</v>
      </c>
      <c r="N20" s="4">
        <f t="shared" si="0"/>
        <v>303.50700000000001</v>
      </c>
    </row>
    <row r="21" spans="1:14" ht="15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14" ht="15" x14ac:dyDescent="0.2">
      <c r="A22" s="9" t="s">
        <v>20</v>
      </c>
      <c r="B22" s="3">
        <v>111.893</v>
      </c>
      <c r="C22" s="2">
        <v>100.711</v>
      </c>
      <c r="D22" s="2">
        <v>112.137</v>
      </c>
      <c r="E22" s="2">
        <v>112.399</v>
      </c>
      <c r="F22" s="2">
        <v>106.50700000000001</v>
      </c>
      <c r="G22" s="2">
        <v>112.523</v>
      </c>
      <c r="H22" s="2">
        <v>99.808999999999997</v>
      </c>
      <c r="I22" s="2">
        <v>107.539</v>
      </c>
      <c r="J22" s="2">
        <v>109.626</v>
      </c>
      <c r="K22" s="2">
        <v>107.846</v>
      </c>
      <c r="L22" s="2">
        <v>112.627</v>
      </c>
      <c r="M22" s="2">
        <v>115.69799999999999</v>
      </c>
      <c r="N22" s="4">
        <f t="shared" si="0"/>
        <v>1309.3149999999998</v>
      </c>
    </row>
    <row r="23" spans="1:14" ht="15" x14ac:dyDescent="0.2">
      <c r="A23" s="9" t="s">
        <v>21</v>
      </c>
      <c r="B23" s="3">
        <v>2.794</v>
      </c>
      <c r="C23" s="2">
        <v>2.202</v>
      </c>
      <c r="D23" s="2">
        <v>3.2469999999999999</v>
      </c>
      <c r="E23" s="2">
        <v>9.6080000000000005</v>
      </c>
      <c r="F23" s="2">
        <v>6.9260000000000002</v>
      </c>
      <c r="G23" s="2">
        <v>0.90300000000000002</v>
      </c>
      <c r="H23" s="2">
        <v>19.771999999999998</v>
      </c>
      <c r="I23" s="2">
        <v>8.4670000000000005</v>
      </c>
      <c r="J23" s="2">
        <v>6.5810000000000004</v>
      </c>
      <c r="K23" s="2">
        <v>5.8659999999999997</v>
      </c>
      <c r="L23" s="2">
        <v>4.9160000000000004</v>
      </c>
      <c r="M23" s="2">
        <v>4.085</v>
      </c>
      <c r="N23" s="4">
        <f t="shared" si="0"/>
        <v>75.36699999999999</v>
      </c>
    </row>
    <row r="24" spans="1:14" ht="15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14" ht="15" x14ac:dyDescent="0.2">
      <c r="A25" s="9" t="s">
        <v>23</v>
      </c>
      <c r="B25" s="3">
        <v>429.86599999999999</v>
      </c>
      <c r="C25" s="2">
        <v>456.50799999999992</v>
      </c>
      <c r="D25" s="2">
        <v>435.68399999999997</v>
      </c>
      <c r="E25" s="2">
        <v>476.79</v>
      </c>
      <c r="F25" s="2">
        <v>507.59400000000005</v>
      </c>
      <c r="G25" s="2">
        <v>512.25</v>
      </c>
      <c r="H25" s="2">
        <v>513.89099999999996</v>
      </c>
      <c r="I25" s="2">
        <v>511.30799999999999</v>
      </c>
      <c r="J25" s="2">
        <v>465.52900000000011</v>
      </c>
      <c r="K25" s="2">
        <v>476.947</v>
      </c>
      <c r="L25" s="2">
        <v>512.154</v>
      </c>
      <c r="M25" s="2">
        <v>591.64099999999996</v>
      </c>
      <c r="N25" s="4">
        <f t="shared" si="0"/>
        <v>5890.1620000000003</v>
      </c>
    </row>
    <row r="26" spans="1:14" ht="15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14" ht="15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14" ht="15" x14ac:dyDescent="0.2">
      <c r="A28" s="9" t="s">
        <v>26</v>
      </c>
      <c r="B28" s="3">
        <v>11.106</v>
      </c>
      <c r="C28" s="2">
        <v>6.9960000000000004</v>
      </c>
      <c r="D28" s="2">
        <v>14.375999999999999</v>
      </c>
      <c r="E28" s="2">
        <v>16.857000000000003</v>
      </c>
      <c r="F28" s="2">
        <v>15.452999999999999</v>
      </c>
      <c r="G28" s="2">
        <v>13</v>
      </c>
      <c r="H28" s="2">
        <v>25.605</v>
      </c>
      <c r="I28" s="2">
        <v>20.512</v>
      </c>
      <c r="J28" s="2">
        <v>21.414000000000001</v>
      </c>
      <c r="K28" s="2">
        <v>16.02</v>
      </c>
      <c r="L28" s="2">
        <v>15.387</v>
      </c>
      <c r="M28" s="2">
        <v>20.483000000000001</v>
      </c>
      <c r="N28" s="4">
        <f t="shared" si="0"/>
        <v>197.20900000000003</v>
      </c>
    </row>
    <row r="29" spans="1:14" ht="15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4.0000000000000001E-3</v>
      </c>
      <c r="G29" s="2">
        <v>0</v>
      </c>
      <c r="H29" s="2">
        <v>6.0000000000000001E-3</v>
      </c>
      <c r="I29" s="2">
        <v>8.0000000000000002E-3</v>
      </c>
      <c r="J29" s="2">
        <v>0</v>
      </c>
      <c r="K29" s="2">
        <v>0</v>
      </c>
      <c r="L29" s="2">
        <v>1.2E-2</v>
      </c>
      <c r="M29" s="2">
        <v>0</v>
      </c>
      <c r="N29" s="4">
        <f t="shared" si="0"/>
        <v>3.0000000000000002E-2</v>
      </c>
    </row>
    <row r="30" spans="1:14" ht="15" x14ac:dyDescent="0.2">
      <c r="A30" s="9" t="s">
        <v>28</v>
      </c>
      <c r="B30" s="3">
        <v>642.37599999999998</v>
      </c>
      <c r="C30" s="2">
        <v>637.75099999999998</v>
      </c>
      <c r="D30" s="2">
        <v>702.82799999999997</v>
      </c>
      <c r="E30" s="2">
        <v>665.58199999999999</v>
      </c>
      <c r="F30" s="2">
        <v>743.452</v>
      </c>
      <c r="G30" s="2">
        <v>797.46299999999997</v>
      </c>
      <c r="H30" s="2">
        <v>779.22</v>
      </c>
      <c r="I30" s="2">
        <v>773.827</v>
      </c>
      <c r="J30" s="2">
        <v>741.33500000000004</v>
      </c>
      <c r="K30" s="2">
        <v>708.06700000000001</v>
      </c>
      <c r="L30" s="2">
        <v>721.62800000000004</v>
      </c>
      <c r="M30" s="2">
        <v>765.31</v>
      </c>
      <c r="N30" s="4">
        <f t="shared" si="0"/>
        <v>8678.8389999999999</v>
      </c>
    </row>
    <row r="31" spans="1:14" ht="15" x14ac:dyDescent="0.2">
      <c r="A31" s="9" t="s">
        <v>29</v>
      </c>
      <c r="B31" s="3">
        <v>0</v>
      </c>
      <c r="C31" s="2">
        <v>0</v>
      </c>
      <c r="D31" s="2">
        <v>5.0000000000000001E-3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5.0000000000000001E-3</v>
      </c>
    </row>
    <row r="32" spans="1:14" ht="15" x14ac:dyDescent="0.2">
      <c r="A32" s="9" t="s">
        <v>30</v>
      </c>
      <c r="B32" s="3">
        <v>185.249</v>
      </c>
      <c r="C32" s="2">
        <v>148.45400000000001</v>
      </c>
      <c r="D32" s="2">
        <v>214.59700000000001</v>
      </c>
      <c r="E32" s="2">
        <v>165.572</v>
      </c>
      <c r="F32" s="2">
        <v>187.90299999999999</v>
      </c>
      <c r="G32" s="2">
        <v>187.14400000000001</v>
      </c>
      <c r="H32" s="2">
        <v>207.965</v>
      </c>
      <c r="I32" s="2">
        <v>211.32400000000001</v>
      </c>
      <c r="J32" s="2">
        <v>186.47200000000004</v>
      </c>
      <c r="K32" s="2">
        <v>184.31100000000001</v>
      </c>
      <c r="L32" s="2">
        <v>146.46899999999999</v>
      </c>
      <c r="M32" s="2">
        <v>182.73500000000001</v>
      </c>
      <c r="N32" s="4">
        <f t="shared" si="0"/>
        <v>2208.1949999999997</v>
      </c>
    </row>
    <row r="33" spans="1:14" ht="15" x14ac:dyDescent="0.2">
      <c r="A33" s="9" t="s">
        <v>31</v>
      </c>
      <c r="B33" s="3">
        <v>35.274000000000001</v>
      </c>
      <c r="C33" s="2">
        <v>44.167000000000002</v>
      </c>
      <c r="D33" s="2">
        <v>18.675000000000001</v>
      </c>
      <c r="E33" s="2">
        <v>38.255000000000003</v>
      </c>
      <c r="F33" s="2">
        <v>23.498999999999999</v>
      </c>
      <c r="G33" s="2">
        <v>23.742000000000001</v>
      </c>
      <c r="H33" s="2">
        <v>9.2650000000000006</v>
      </c>
      <c r="I33" s="2">
        <v>15.759</v>
      </c>
      <c r="J33" s="2">
        <v>27.565999999999999</v>
      </c>
      <c r="K33" s="2">
        <v>34.173999999999999</v>
      </c>
      <c r="L33" s="2">
        <v>30.463000000000001</v>
      </c>
      <c r="M33" s="2">
        <v>28.965</v>
      </c>
      <c r="N33" s="4">
        <f t="shared" si="0"/>
        <v>329.80400000000003</v>
      </c>
    </row>
    <row r="34" spans="1:14" ht="15" x14ac:dyDescent="0.2">
      <c r="A34" s="9" t="s">
        <v>32</v>
      </c>
      <c r="B34" s="3">
        <v>24.713999999999999</v>
      </c>
      <c r="C34" s="2">
        <v>23.762</v>
      </c>
      <c r="D34" s="2">
        <v>2.476</v>
      </c>
      <c r="E34" s="2">
        <v>32.701999999999998</v>
      </c>
      <c r="F34" s="2">
        <v>19.154</v>
      </c>
      <c r="G34" s="2">
        <v>0.53800000000000003</v>
      </c>
      <c r="H34" s="2">
        <v>23.51</v>
      </c>
      <c r="I34" s="2">
        <v>5.702</v>
      </c>
      <c r="J34" s="2">
        <v>20.501999999999999</v>
      </c>
      <c r="K34" s="2">
        <v>19.594999999999999</v>
      </c>
      <c r="L34" s="2">
        <v>20.158000000000001</v>
      </c>
      <c r="M34" s="2">
        <v>28.978000000000002</v>
      </c>
      <c r="N34" s="4">
        <f t="shared" si="0"/>
        <v>221.791</v>
      </c>
    </row>
    <row r="35" spans="1:14" ht="15" x14ac:dyDescent="0.2">
      <c r="A35" s="9" t="s">
        <v>33</v>
      </c>
      <c r="B35" s="3">
        <v>8.1690000000000005</v>
      </c>
      <c r="C35" s="2">
        <v>15.881</v>
      </c>
      <c r="D35" s="2">
        <v>37.021999999999998</v>
      </c>
      <c r="E35" s="2">
        <v>18.244</v>
      </c>
      <c r="F35" s="2">
        <v>21.99</v>
      </c>
      <c r="G35" s="2">
        <v>46.43</v>
      </c>
      <c r="H35" s="2">
        <v>30.690999999999999</v>
      </c>
      <c r="I35" s="2">
        <v>45.767000000000003</v>
      </c>
      <c r="J35" s="2">
        <v>23.524999999999999</v>
      </c>
      <c r="K35" s="2">
        <v>33.454999999999998</v>
      </c>
      <c r="L35" s="2">
        <v>43.542999999999999</v>
      </c>
      <c r="M35" s="2">
        <v>27.681000000000001</v>
      </c>
      <c r="N35" s="4">
        <f t="shared" si="0"/>
        <v>352.39799999999997</v>
      </c>
    </row>
    <row r="36" spans="1:14" ht="15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4.1000000000000002E-2</v>
      </c>
      <c r="L36" s="2">
        <v>0.127</v>
      </c>
      <c r="M36" s="2">
        <v>3.0000000000000001E-3</v>
      </c>
      <c r="N36" s="4">
        <f t="shared" si="0"/>
        <v>0.17100000000000001</v>
      </c>
    </row>
    <row r="37" spans="1:14" ht="15" x14ac:dyDescent="0.2">
      <c r="A37" s="9" t="s">
        <v>35</v>
      </c>
      <c r="B37" s="3">
        <v>1861.8430000000001</v>
      </c>
      <c r="C37" s="2">
        <v>1890.19</v>
      </c>
      <c r="D37" s="2">
        <v>1993.827</v>
      </c>
      <c r="E37" s="2">
        <v>1984.0129999999999</v>
      </c>
      <c r="F37" s="2">
        <v>2084.2669999999998</v>
      </c>
      <c r="G37" s="2">
        <v>2070.6590000000001</v>
      </c>
      <c r="H37" s="2">
        <v>2073.5500000000002</v>
      </c>
      <c r="I37" s="2">
        <v>2026.4280000000001</v>
      </c>
      <c r="J37" s="2">
        <v>1939.616</v>
      </c>
      <c r="K37" s="2">
        <v>1990.27</v>
      </c>
      <c r="L37" s="2">
        <v>1953.7090000000001</v>
      </c>
      <c r="M37" s="2">
        <v>2129.884</v>
      </c>
      <c r="N37" s="4">
        <f t="shared" si="0"/>
        <v>23998.255999999994</v>
      </c>
    </row>
    <row r="38" spans="1:14" ht="15" x14ac:dyDescent="0.2">
      <c r="A38" s="9" t="s">
        <v>36</v>
      </c>
      <c r="B38" s="3">
        <v>13.750999999999999</v>
      </c>
      <c r="C38" s="2">
        <v>14.545999999999999</v>
      </c>
      <c r="D38" s="2">
        <v>17.398</v>
      </c>
      <c r="E38" s="2">
        <v>35.886000000000003</v>
      </c>
      <c r="F38" s="2">
        <v>19.641999999999999</v>
      </c>
      <c r="G38" s="2">
        <v>15.531000000000001</v>
      </c>
      <c r="H38" s="2">
        <v>19.63</v>
      </c>
      <c r="I38" s="2">
        <v>6.6769999999999996</v>
      </c>
      <c r="J38" s="2">
        <v>14.228999999999999</v>
      </c>
      <c r="K38" s="2">
        <v>53.417999999999999</v>
      </c>
      <c r="L38" s="2">
        <v>33.530999999999999</v>
      </c>
      <c r="M38" s="2">
        <v>29.276</v>
      </c>
      <c r="N38" s="4">
        <f t="shared" si="0"/>
        <v>273.51499999999999</v>
      </c>
    </row>
    <row r="39" spans="1:14" ht="15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5" x14ac:dyDescent="0.2">
      <c r="A40" s="9" t="s">
        <v>38</v>
      </c>
      <c r="B40" s="3">
        <v>0.61499999999999999</v>
      </c>
      <c r="C40" s="2">
        <v>1.3580000000000001</v>
      </c>
      <c r="D40" s="2">
        <v>2.5019999999999998</v>
      </c>
      <c r="E40" s="2">
        <v>2.2069999999999999</v>
      </c>
      <c r="F40" s="2">
        <v>3.532</v>
      </c>
      <c r="G40" s="2">
        <v>2.0779999999999998</v>
      </c>
      <c r="H40" s="2">
        <v>6.9000000000000006E-2</v>
      </c>
      <c r="I40" s="2">
        <v>10.44</v>
      </c>
      <c r="J40" s="2">
        <v>4.6139999999999999</v>
      </c>
      <c r="K40" s="2">
        <v>3.6520000000000001</v>
      </c>
      <c r="L40" s="2">
        <v>11.263999999999999</v>
      </c>
      <c r="M40" s="2">
        <v>1.631</v>
      </c>
      <c r="N40" s="4">
        <f t="shared" si="0"/>
        <v>43.962000000000003</v>
      </c>
    </row>
    <row r="41" spans="1:14" ht="15" x14ac:dyDescent="0.2">
      <c r="A41" s="9" t="s">
        <v>39</v>
      </c>
      <c r="B41" s="3">
        <v>0.20699999999999999</v>
      </c>
      <c r="C41" s="2">
        <v>0.24299999999999999</v>
      </c>
      <c r="D41" s="2">
        <v>1.444</v>
      </c>
      <c r="E41" s="2">
        <v>4.6719999999999997</v>
      </c>
      <c r="F41" s="2">
        <v>7.2750000000000004</v>
      </c>
      <c r="G41" s="2">
        <v>1.3819999999999999</v>
      </c>
      <c r="H41" s="2">
        <v>6.6040000000000001</v>
      </c>
      <c r="I41" s="2">
        <v>3.8559999999999999</v>
      </c>
      <c r="J41" s="2">
        <v>3.0720000000000001</v>
      </c>
      <c r="K41" s="2">
        <v>2.653</v>
      </c>
      <c r="L41" s="2">
        <v>17.888000000000002</v>
      </c>
      <c r="M41" s="2">
        <v>1.1180000000000001</v>
      </c>
      <c r="N41" s="4">
        <f t="shared" si="0"/>
        <v>50.414000000000001</v>
      </c>
    </row>
    <row r="42" spans="1:14" ht="15" x14ac:dyDescent="0.2">
      <c r="A42" s="9" t="s">
        <v>57</v>
      </c>
      <c r="B42" s="3">
        <v>9.4169999999999998</v>
      </c>
      <c r="C42" s="2">
        <v>6.3920000000000003</v>
      </c>
      <c r="D42" s="2">
        <v>6.1369999999999996</v>
      </c>
      <c r="E42" s="2">
        <v>34.942999999999998</v>
      </c>
      <c r="F42" s="2">
        <v>16.042000000000002</v>
      </c>
      <c r="G42" s="2">
        <v>18.145</v>
      </c>
      <c r="H42" s="2">
        <v>10.282999999999999</v>
      </c>
      <c r="I42" s="2">
        <v>0.217</v>
      </c>
      <c r="J42" s="2">
        <v>13.103999999999999</v>
      </c>
      <c r="K42" s="2">
        <v>20.939</v>
      </c>
      <c r="L42" s="2">
        <v>11.528</v>
      </c>
      <c r="M42" s="2">
        <v>9.0690000000000008</v>
      </c>
      <c r="N42" s="4">
        <f t="shared" si="0"/>
        <v>156.21599999999998</v>
      </c>
    </row>
    <row r="43" spans="1:14" ht="15" x14ac:dyDescent="0.2">
      <c r="A43" s="9" t="s">
        <v>40</v>
      </c>
      <c r="B43" s="3">
        <v>355.61599999999999</v>
      </c>
      <c r="C43" s="2">
        <v>455.06900000000002</v>
      </c>
      <c r="D43" s="2">
        <v>374.80399999999997</v>
      </c>
      <c r="E43" s="2">
        <v>308.178</v>
      </c>
      <c r="F43" s="2">
        <v>414.15100000000001</v>
      </c>
      <c r="G43" s="2">
        <v>393.685</v>
      </c>
      <c r="H43" s="2">
        <v>322.822</v>
      </c>
      <c r="I43" s="2">
        <v>331.46100000000001</v>
      </c>
      <c r="J43" s="2">
        <v>274.20999999999998</v>
      </c>
      <c r="K43" s="2">
        <v>310.88799999999992</v>
      </c>
      <c r="L43" s="2">
        <v>376.53</v>
      </c>
      <c r="M43" s="2">
        <v>313.726</v>
      </c>
      <c r="N43" s="4">
        <f t="shared" si="0"/>
        <v>4231.1399999999994</v>
      </c>
    </row>
    <row r="44" spans="1:14" ht="15" x14ac:dyDescent="0.2">
      <c r="A44" s="9" t="s">
        <v>41</v>
      </c>
      <c r="B44" s="3">
        <v>23.838000000000001</v>
      </c>
      <c r="C44" s="2">
        <v>17.811</v>
      </c>
      <c r="D44" s="2">
        <v>28.83</v>
      </c>
      <c r="E44" s="2">
        <v>35.064</v>
      </c>
      <c r="F44" s="2">
        <v>36.880000000000003</v>
      </c>
      <c r="G44" s="2">
        <v>32.417000000000002</v>
      </c>
      <c r="H44" s="2">
        <v>33.932000000000002</v>
      </c>
      <c r="I44" s="2">
        <v>34.826000000000001</v>
      </c>
      <c r="J44" s="2">
        <v>26.77</v>
      </c>
      <c r="K44" s="2">
        <v>28.606999999999999</v>
      </c>
      <c r="L44" s="2">
        <v>15.946</v>
      </c>
      <c r="M44" s="2">
        <v>22.042000000000002</v>
      </c>
      <c r="N44" s="4">
        <f t="shared" si="0"/>
        <v>336.96300000000008</v>
      </c>
    </row>
    <row r="45" spans="1:14" ht="15" x14ac:dyDescent="0.2">
      <c r="A45" s="9" t="s">
        <v>42</v>
      </c>
      <c r="B45" s="3">
        <v>112.15600000000001</v>
      </c>
      <c r="C45" s="2">
        <v>122.559</v>
      </c>
      <c r="D45" s="2">
        <v>150.49299999999999</v>
      </c>
      <c r="E45" s="2">
        <v>152.73599999999999</v>
      </c>
      <c r="F45" s="2">
        <v>150.90600000000001</v>
      </c>
      <c r="G45" s="2">
        <v>199.227</v>
      </c>
      <c r="H45" s="2">
        <v>202.15199999999999</v>
      </c>
      <c r="I45" s="2">
        <v>183.196</v>
      </c>
      <c r="J45" s="2">
        <v>168.203</v>
      </c>
      <c r="K45" s="2">
        <v>175.40199999999999</v>
      </c>
      <c r="L45" s="2">
        <v>143.39500000000001</v>
      </c>
      <c r="M45" s="2">
        <v>156.83000000000001</v>
      </c>
      <c r="N45" s="4">
        <f t="shared" si="0"/>
        <v>1917.2549999999997</v>
      </c>
    </row>
    <row r="46" spans="1:14" ht="15" x14ac:dyDescent="0.2">
      <c r="A46" s="9" t="s">
        <v>43</v>
      </c>
      <c r="B46" s="3">
        <v>22.103999999999999</v>
      </c>
      <c r="C46" s="2">
        <v>14.35</v>
      </c>
      <c r="D46" s="2">
        <v>14.282999999999999</v>
      </c>
      <c r="E46" s="2">
        <v>10.673999999999999</v>
      </c>
      <c r="F46" s="2">
        <v>17.175000000000001</v>
      </c>
      <c r="G46" s="2">
        <v>19.512</v>
      </c>
      <c r="H46" s="2">
        <v>15.455</v>
      </c>
      <c r="I46" s="2">
        <v>17.437000000000001</v>
      </c>
      <c r="J46" s="2">
        <v>10.345000000000001</v>
      </c>
      <c r="K46" s="2">
        <v>20.634</v>
      </c>
      <c r="L46" s="2">
        <v>21.027000000000001</v>
      </c>
      <c r="M46" s="2">
        <v>20.847000000000001</v>
      </c>
      <c r="N46" s="4">
        <f t="shared" si="0"/>
        <v>203.84299999999999</v>
      </c>
    </row>
    <row r="47" spans="1:14" ht="15" x14ac:dyDescent="0.2">
      <c r="A47" s="9" t="s">
        <v>44</v>
      </c>
      <c r="B47" s="3">
        <v>5.6360000000000001</v>
      </c>
      <c r="C47" s="2">
        <v>3.8860000000000001</v>
      </c>
      <c r="D47" s="2">
        <v>3.7719999999999998</v>
      </c>
      <c r="E47" s="2">
        <v>5</v>
      </c>
      <c r="F47" s="2">
        <v>5.6130000000000004</v>
      </c>
      <c r="G47" s="2">
        <v>5.4409999999999998</v>
      </c>
      <c r="H47" s="2">
        <v>5.266</v>
      </c>
      <c r="I47" s="2">
        <v>3.8490000000000002</v>
      </c>
      <c r="J47" s="2">
        <v>5.3789999999999996</v>
      </c>
      <c r="K47" s="2">
        <v>5.726</v>
      </c>
      <c r="L47" s="2">
        <v>2.74</v>
      </c>
      <c r="M47" s="2">
        <v>2.7309999999999999</v>
      </c>
      <c r="N47" s="4">
        <f t="shared" si="0"/>
        <v>55.038999999999994</v>
      </c>
    </row>
    <row r="48" spans="1:14" ht="15" x14ac:dyDescent="0.2">
      <c r="A48" s="9" t="s">
        <v>45</v>
      </c>
      <c r="B48" s="3">
        <v>288.01799999999997</v>
      </c>
      <c r="C48" s="2">
        <v>282.18799999999999</v>
      </c>
      <c r="D48" s="2">
        <v>315.54399999999998</v>
      </c>
      <c r="E48" s="2">
        <v>311.00799999999998</v>
      </c>
      <c r="F48" s="2">
        <v>313.875</v>
      </c>
      <c r="G48" s="2">
        <v>330.36099999999999</v>
      </c>
      <c r="H48" s="2">
        <v>326.74299999999999</v>
      </c>
      <c r="I48" s="2">
        <v>326.48</v>
      </c>
      <c r="J48" s="2">
        <v>309.30500000000001</v>
      </c>
      <c r="K48" s="2">
        <v>313.52100000000002</v>
      </c>
      <c r="L48" s="2">
        <v>312.101</v>
      </c>
      <c r="M48" s="2">
        <v>314.49099999999999</v>
      </c>
      <c r="N48" s="4">
        <f t="shared" si="0"/>
        <v>3743.6349999999998</v>
      </c>
    </row>
    <row r="49" spans="1:14" ht="15" x14ac:dyDescent="0.2">
      <c r="A49" s="10" t="s">
        <v>52</v>
      </c>
      <c r="B49" s="7">
        <v>179.38799999999901</v>
      </c>
      <c r="C49" s="5">
        <v>240.09000000000003</v>
      </c>
      <c r="D49" s="5">
        <v>291.4389999999994</v>
      </c>
      <c r="E49" s="5">
        <v>172.84999999999997</v>
      </c>
      <c r="F49" s="5">
        <v>254.28399999999965</v>
      </c>
      <c r="G49" s="5">
        <v>134.35299999999916</v>
      </c>
      <c r="H49" s="5">
        <v>182.73099999999886</v>
      </c>
      <c r="I49" s="5">
        <v>204.75399999999999</v>
      </c>
      <c r="J49" s="5">
        <v>199.22799999999916</v>
      </c>
      <c r="K49" s="5">
        <v>177.37699999999992</v>
      </c>
      <c r="L49" s="5">
        <v>198.74399999999997</v>
      </c>
      <c r="M49" s="5">
        <v>220.1269999999995</v>
      </c>
      <c r="N49" s="6">
        <f t="shared" si="0"/>
        <v>2455.3649999999948</v>
      </c>
    </row>
    <row r="53" spans="1:14" x14ac:dyDescent="0.2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</row>
    <row r="54" spans="1:14" x14ac:dyDescent="0.2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</row>
    <row r="55" spans="1:14" x14ac:dyDescent="0.2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</row>
    <row r="56" spans="1:14" x14ac:dyDescent="0.2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P143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16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6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16" s="16" customFormat="1" ht="21" customHeight="1" x14ac:dyDescent="0.2">
      <c r="A4" s="11" t="s">
        <v>13</v>
      </c>
      <c r="B4" s="12">
        <v>42005</v>
      </c>
      <c r="C4" s="13">
        <v>42036</v>
      </c>
      <c r="D4" s="13">
        <v>42064</v>
      </c>
      <c r="E4" s="13">
        <v>42095</v>
      </c>
      <c r="F4" s="13">
        <v>42125</v>
      </c>
      <c r="G4" s="13">
        <v>42156</v>
      </c>
      <c r="H4" s="13">
        <v>42186</v>
      </c>
      <c r="I4" s="14">
        <v>42217</v>
      </c>
      <c r="J4" s="14">
        <v>42248</v>
      </c>
      <c r="K4" s="14">
        <v>42278</v>
      </c>
      <c r="L4" s="13">
        <v>42309</v>
      </c>
      <c r="M4" s="13">
        <v>42339</v>
      </c>
      <c r="N4" s="15" t="s">
        <v>48</v>
      </c>
    </row>
    <row r="5" spans="1:16" s="21" customFormat="1" ht="21" customHeight="1" x14ac:dyDescent="0.2">
      <c r="A5" s="17" t="s">
        <v>0</v>
      </c>
      <c r="B5" s="18">
        <v>18.919</v>
      </c>
      <c r="C5" s="19">
        <v>26.693999999999999</v>
      </c>
      <c r="D5" s="19">
        <v>28.718</v>
      </c>
      <c r="E5" s="19">
        <v>23.831</v>
      </c>
      <c r="F5" s="19">
        <v>23.832999999999998</v>
      </c>
      <c r="G5" s="19">
        <v>20.893999999999998</v>
      </c>
      <c r="H5" s="19">
        <v>18.471</v>
      </c>
      <c r="I5" s="19">
        <v>17.015000000000001</v>
      </c>
      <c r="J5" s="19">
        <v>13.863</v>
      </c>
      <c r="K5" s="19">
        <v>14.46</v>
      </c>
      <c r="L5" s="19">
        <v>12.349</v>
      </c>
      <c r="M5" s="19">
        <v>13.196999999999999</v>
      </c>
      <c r="N5" s="20">
        <f>SUM(B5:M5)</f>
        <v>232.244</v>
      </c>
    </row>
    <row r="6" spans="1:16" s="21" customFormat="1" ht="21" customHeight="1" x14ac:dyDescent="0.2">
      <c r="A6" s="22" t="s">
        <v>1</v>
      </c>
      <c r="B6" s="23">
        <v>4601</v>
      </c>
      <c r="C6" s="24">
        <v>5429</v>
      </c>
      <c r="D6" s="24">
        <v>5694</v>
      </c>
      <c r="E6" s="24">
        <v>5325</v>
      </c>
      <c r="F6" s="24">
        <v>5055</v>
      </c>
      <c r="G6" s="24">
        <v>5266</v>
      </c>
      <c r="H6" s="24">
        <v>5978</v>
      </c>
      <c r="I6" s="24">
        <v>5660</v>
      </c>
      <c r="J6" s="24">
        <v>5745</v>
      </c>
      <c r="K6" s="24">
        <v>5433</v>
      </c>
      <c r="L6" s="24">
        <v>5111</v>
      </c>
      <c r="M6" s="24">
        <v>5429</v>
      </c>
      <c r="N6" s="25">
        <f t="shared" ref="N6:N15" si="0">SUM(B6:M6)</f>
        <v>64726</v>
      </c>
    </row>
    <row r="7" spans="1:16" s="21" customFormat="1" ht="21" customHeight="1" x14ac:dyDescent="0.2">
      <c r="A7" s="26" t="s">
        <v>2</v>
      </c>
      <c r="B7" s="27">
        <v>239</v>
      </c>
      <c r="C7" s="28">
        <v>238</v>
      </c>
      <c r="D7" s="28">
        <v>120</v>
      </c>
      <c r="E7" s="28">
        <v>-149</v>
      </c>
      <c r="F7" s="28">
        <v>68</v>
      </c>
      <c r="G7" s="28">
        <v>32</v>
      </c>
      <c r="H7" s="28">
        <v>-132</v>
      </c>
      <c r="I7" s="28">
        <v>-40</v>
      </c>
      <c r="J7" s="28">
        <v>-76</v>
      </c>
      <c r="K7" s="28">
        <v>13</v>
      </c>
      <c r="L7" s="28">
        <v>-79</v>
      </c>
      <c r="M7" s="28">
        <v>-53</v>
      </c>
      <c r="N7" s="29">
        <f t="shared" si="0"/>
        <v>181</v>
      </c>
    </row>
    <row r="8" spans="1:16" s="21" customFormat="1" ht="21" customHeight="1" x14ac:dyDescent="0.2">
      <c r="A8" s="26" t="s">
        <v>3</v>
      </c>
      <c r="B8" s="27">
        <v>-432</v>
      </c>
      <c r="C8" s="28">
        <v>894</v>
      </c>
      <c r="D8" s="28">
        <v>398</v>
      </c>
      <c r="E8" s="28">
        <v>-244</v>
      </c>
      <c r="F8" s="28">
        <v>-581</v>
      </c>
      <c r="G8" s="28">
        <v>114</v>
      </c>
      <c r="H8" s="28">
        <v>249</v>
      </c>
      <c r="I8" s="28">
        <v>-322</v>
      </c>
      <c r="J8" s="28">
        <v>430</v>
      </c>
      <c r="K8" s="28">
        <v>-333</v>
      </c>
      <c r="L8" s="28">
        <v>27</v>
      </c>
      <c r="M8" s="28">
        <v>-273</v>
      </c>
      <c r="N8" s="29">
        <f t="shared" si="0"/>
        <v>-73</v>
      </c>
    </row>
    <row r="9" spans="1:16" s="21" customFormat="1" ht="21" customHeight="1" x14ac:dyDescent="0.2">
      <c r="A9" s="26" t="s">
        <v>4</v>
      </c>
      <c r="B9" s="27">
        <v>24</v>
      </c>
      <c r="C9" s="28">
        <v>179</v>
      </c>
      <c r="D9" s="28">
        <v>170</v>
      </c>
      <c r="E9" s="28">
        <v>-123</v>
      </c>
      <c r="F9" s="28">
        <v>101</v>
      </c>
      <c r="G9" s="28">
        <v>60</v>
      </c>
      <c r="H9" s="28">
        <v>-112</v>
      </c>
      <c r="I9" s="28">
        <v>-32</v>
      </c>
      <c r="J9" s="28">
        <v>-51</v>
      </c>
      <c r="K9" s="28">
        <v>26</v>
      </c>
      <c r="L9" s="28">
        <v>-239</v>
      </c>
      <c r="M9" s="28">
        <v>-65</v>
      </c>
      <c r="N9" s="29">
        <f t="shared" si="0"/>
        <v>-62</v>
      </c>
    </row>
    <row r="10" spans="1:16" s="21" customFormat="1" ht="21" customHeight="1" x14ac:dyDescent="0.2">
      <c r="A10" s="26" t="s">
        <v>5</v>
      </c>
      <c r="B10" s="27">
        <v>106</v>
      </c>
      <c r="C10" s="28">
        <v>6</v>
      </c>
      <c r="D10" s="28">
        <v>55</v>
      </c>
      <c r="E10" s="28">
        <v>30</v>
      </c>
      <c r="F10" s="28">
        <v>43</v>
      </c>
      <c r="G10" s="28">
        <v>29</v>
      </c>
      <c r="H10" s="28">
        <v>25</v>
      </c>
      <c r="I10" s="28">
        <v>18</v>
      </c>
      <c r="J10" s="28">
        <v>31</v>
      </c>
      <c r="K10" s="28">
        <v>19</v>
      </c>
      <c r="L10" s="28">
        <v>15</v>
      </c>
      <c r="M10" s="28">
        <v>12</v>
      </c>
      <c r="N10" s="29">
        <f t="shared" si="0"/>
        <v>389</v>
      </c>
    </row>
    <row r="11" spans="1:16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</row>
    <row r="12" spans="1:16" s="31" customFormat="1" ht="21" customHeight="1" x14ac:dyDescent="0.2">
      <c r="A12" s="22" t="s">
        <v>7</v>
      </c>
      <c r="B12" s="24">
        <v>5372.9189999999999</v>
      </c>
      <c r="C12" s="24">
        <v>4626.6940000000004</v>
      </c>
      <c r="D12" s="24">
        <v>5329.7179999999998</v>
      </c>
      <c r="E12" s="24">
        <v>5596.8310000000001</v>
      </c>
      <c r="F12" s="24">
        <v>5669.8329999999996</v>
      </c>
      <c r="G12" s="24">
        <v>5173.8940000000002</v>
      </c>
      <c r="H12" s="24">
        <v>5752.4709999999995</v>
      </c>
      <c r="I12" s="24">
        <v>6009.0150000000003</v>
      </c>
      <c r="J12" s="24">
        <v>5334.8630000000003</v>
      </c>
      <c r="K12" s="24">
        <v>5786.46</v>
      </c>
      <c r="L12" s="24">
        <v>5271.3490000000002</v>
      </c>
      <c r="M12" s="24">
        <v>5739.1970000000001</v>
      </c>
      <c r="N12" s="25">
        <f t="shared" si="0"/>
        <v>65663.244000000006</v>
      </c>
    </row>
    <row r="13" spans="1:16" s="21" customFormat="1" ht="21" customHeight="1" x14ac:dyDescent="0.2">
      <c r="A13" s="26" t="s">
        <v>12</v>
      </c>
      <c r="B13" s="27">
        <v>5052</v>
      </c>
      <c r="C13" s="28">
        <v>4562</v>
      </c>
      <c r="D13" s="28">
        <v>5325</v>
      </c>
      <c r="E13" s="28">
        <v>5593</v>
      </c>
      <c r="F13" s="28">
        <v>5660</v>
      </c>
      <c r="G13" s="28">
        <v>5173</v>
      </c>
      <c r="H13" s="28">
        <v>5747</v>
      </c>
      <c r="I13" s="28">
        <v>5999</v>
      </c>
      <c r="J13" s="28">
        <v>5329</v>
      </c>
      <c r="K13" s="28">
        <v>5780</v>
      </c>
      <c r="L13" s="28">
        <v>5096</v>
      </c>
      <c r="M13" s="28">
        <v>5715</v>
      </c>
      <c r="N13" s="29">
        <f t="shared" si="0"/>
        <v>65031</v>
      </c>
    </row>
    <row r="14" spans="1:16" s="21" customFormat="1" ht="21" customHeight="1" x14ac:dyDescent="0.2">
      <c r="A14" s="26" t="s">
        <v>8</v>
      </c>
      <c r="B14" s="27">
        <v>37.918999999999869</v>
      </c>
      <c r="C14" s="28">
        <v>21.694000000000415</v>
      </c>
      <c r="D14" s="28">
        <v>66.160000000000764</v>
      </c>
      <c r="E14" s="28">
        <v>85.630000000001019</v>
      </c>
      <c r="F14" s="28">
        <v>70.42200000000048</v>
      </c>
      <c r="G14" s="28">
        <v>36.894000000000233</v>
      </c>
      <c r="H14" s="28">
        <v>51.470999999999549</v>
      </c>
      <c r="I14" s="28">
        <v>64.015000000000327</v>
      </c>
      <c r="J14" s="28">
        <v>23.028999999999542</v>
      </c>
      <c r="K14" s="28">
        <v>95.460000000000036</v>
      </c>
      <c r="L14" s="28">
        <v>36.34900000000016</v>
      </c>
      <c r="M14" s="28">
        <v>89.109000000000378</v>
      </c>
      <c r="N14" s="29">
        <f t="shared" si="0"/>
        <v>678.15200000000277</v>
      </c>
      <c r="P14" s="37"/>
    </row>
    <row r="15" spans="1:16" s="32" customFormat="1" ht="21" customHeight="1" x14ac:dyDescent="0.2">
      <c r="A15" s="22" t="s">
        <v>9</v>
      </c>
      <c r="B15" s="24">
        <v>5335</v>
      </c>
      <c r="C15" s="24">
        <v>4605</v>
      </c>
      <c r="D15" s="24">
        <v>5261.5579999999991</v>
      </c>
      <c r="E15" s="24">
        <v>5511.4549999999981</v>
      </c>
      <c r="F15" s="24">
        <v>5599</v>
      </c>
      <c r="G15" s="24">
        <v>5137.2930000000006</v>
      </c>
      <c r="H15" s="24">
        <v>5701</v>
      </c>
      <c r="I15" s="24">
        <v>5945</v>
      </c>
      <c r="J15" s="24">
        <v>5311.5290000000014</v>
      </c>
      <c r="K15" s="24">
        <v>5691</v>
      </c>
      <c r="L15" s="24">
        <v>5235.2399999999989</v>
      </c>
      <c r="M15" s="24">
        <v>5650.1210000000001</v>
      </c>
      <c r="N15" s="25">
        <f t="shared" si="0"/>
        <v>64983.195999999996</v>
      </c>
    </row>
    <row r="16" spans="1:16" ht="16.5" customHeight="1" x14ac:dyDescent="0.2">
      <c r="A16" s="9" t="s">
        <v>14</v>
      </c>
      <c r="B16" s="3">
        <v>186.88499999999999</v>
      </c>
      <c r="C16" s="2">
        <v>157.03899999999999</v>
      </c>
      <c r="D16" s="2">
        <v>201</v>
      </c>
      <c r="E16" s="2">
        <v>218</v>
      </c>
      <c r="F16" s="2">
        <v>233</v>
      </c>
      <c r="G16" s="2">
        <v>188</v>
      </c>
      <c r="H16" s="2">
        <v>212</v>
      </c>
      <c r="I16" s="2">
        <v>221</v>
      </c>
      <c r="J16" s="2">
        <v>184.876</v>
      </c>
      <c r="K16" s="2">
        <v>197</v>
      </c>
      <c r="L16" s="2">
        <v>179.91900000000001</v>
      </c>
      <c r="M16" s="2">
        <v>185.26</v>
      </c>
      <c r="N16" s="4">
        <f t="shared" ref="N16:N49" si="1">SUM(B16:M16)</f>
        <v>2363.9790000000003</v>
      </c>
    </row>
    <row r="17" spans="1:14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1"/>
        <v>0</v>
      </c>
    </row>
    <row r="18" spans="1:14" ht="16.5" customHeight="1" x14ac:dyDescent="0.2">
      <c r="A18" s="9" t="s">
        <v>16</v>
      </c>
      <c r="B18" s="3">
        <v>97.186000000000007</v>
      </c>
      <c r="C18" s="2">
        <v>102.22199999999999</v>
      </c>
      <c r="D18" s="2">
        <v>116.7</v>
      </c>
      <c r="E18" s="2">
        <v>107.56699999999999</v>
      </c>
      <c r="F18" s="2">
        <v>95.179000000000002</v>
      </c>
      <c r="G18" s="2">
        <v>101.90600000000001</v>
      </c>
      <c r="H18" s="2">
        <v>88.778999999999996</v>
      </c>
      <c r="I18" s="2">
        <v>99.888000000000005</v>
      </c>
      <c r="J18" s="2">
        <v>84.47</v>
      </c>
      <c r="K18" s="2">
        <v>91.534000000000006</v>
      </c>
      <c r="L18" s="2">
        <v>94.379000000000005</v>
      </c>
      <c r="M18" s="2">
        <v>93.298000000000002</v>
      </c>
      <c r="N18" s="4">
        <f t="shared" si="1"/>
        <v>1173.1079999999999</v>
      </c>
    </row>
    <row r="19" spans="1:14" ht="16.5" customHeight="1" x14ac:dyDescent="0.2">
      <c r="A19" s="9" t="s">
        <v>17</v>
      </c>
      <c r="B19" s="3">
        <v>49.813999999999993</v>
      </c>
      <c r="C19" s="2">
        <v>47.778000000000006</v>
      </c>
      <c r="D19" s="2">
        <v>53.3</v>
      </c>
      <c r="E19" s="2">
        <v>40.433000000000007</v>
      </c>
      <c r="F19" s="2">
        <v>50.820999999999998</v>
      </c>
      <c r="G19" s="2">
        <v>36.093999999999994</v>
      </c>
      <c r="H19" s="2">
        <v>31.221000000000004</v>
      </c>
      <c r="I19" s="2">
        <v>39.111999999999995</v>
      </c>
      <c r="J19" s="2">
        <v>39.53</v>
      </c>
      <c r="K19" s="2">
        <v>40.465999999999994</v>
      </c>
      <c r="L19" s="2">
        <v>40.620999999999995</v>
      </c>
      <c r="M19" s="2">
        <v>56.701999999999998</v>
      </c>
      <c r="N19" s="4">
        <f t="shared" si="1"/>
        <v>525.89199999999994</v>
      </c>
    </row>
    <row r="20" spans="1:14" ht="16.5" customHeight="1" x14ac:dyDescent="0.2">
      <c r="A20" s="9" t="s">
        <v>18</v>
      </c>
      <c r="B20" s="3">
        <v>104</v>
      </c>
      <c r="C20" s="2">
        <v>109</v>
      </c>
      <c r="D20" s="2">
        <v>119</v>
      </c>
      <c r="E20" s="2">
        <v>103</v>
      </c>
      <c r="F20" s="2">
        <v>97</v>
      </c>
      <c r="G20" s="2">
        <v>96</v>
      </c>
      <c r="H20" s="2">
        <v>104</v>
      </c>
      <c r="I20" s="2">
        <v>109</v>
      </c>
      <c r="J20" s="2">
        <v>94</v>
      </c>
      <c r="K20" s="2">
        <v>96</v>
      </c>
      <c r="L20" s="2">
        <v>104</v>
      </c>
      <c r="M20" s="2">
        <v>105</v>
      </c>
      <c r="N20" s="4">
        <f t="shared" si="1"/>
        <v>1240</v>
      </c>
    </row>
    <row r="21" spans="1:14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1"/>
        <v>0</v>
      </c>
    </row>
    <row r="22" spans="1:14" ht="16.5" customHeight="1" x14ac:dyDescent="0.2">
      <c r="A22" s="9" t="s">
        <v>20</v>
      </c>
      <c r="B22" s="3">
        <v>96.704999999999998</v>
      </c>
      <c r="C22" s="2">
        <v>54.359000000000002</v>
      </c>
      <c r="D22" s="2">
        <v>30.41</v>
      </c>
      <c r="E22" s="2">
        <v>92.477000000000004</v>
      </c>
      <c r="F22" s="2">
        <v>97.44</v>
      </c>
      <c r="G22" s="2">
        <v>104.52200000000001</v>
      </c>
      <c r="H22" s="2">
        <v>112.1</v>
      </c>
      <c r="I22" s="2">
        <v>105.789</v>
      </c>
      <c r="J22" s="2">
        <v>102.82599999999999</v>
      </c>
      <c r="K22" s="2">
        <v>95.072999999999993</v>
      </c>
      <c r="L22" s="2">
        <v>99.587000000000003</v>
      </c>
      <c r="M22" s="2">
        <v>102.008</v>
      </c>
      <c r="N22" s="4">
        <f t="shared" si="1"/>
        <v>1093.296</v>
      </c>
    </row>
    <row r="23" spans="1:14" ht="16.5" customHeight="1" x14ac:dyDescent="0.2">
      <c r="A23" s="9" t="s">
        <v>21</v>
      </c>
      <c r="B23" s="3">
        <v>5.8170000000000002</v>
      </c>
      <c r="C23" s="2">
        <v>2.1070000000000002</v>
      </c>
      <c r="D23" s="2">
        <v>0.80700000000000005</v>
      </c>
      <c r="E23" s="2">
        <v>11.375999999999999</v>
      </c>
      <c r="F23" s="2">
        <v>4.1859999999999999</v>
      </c>
      <c r="G23" s="2">
        <v>2.8519999999999999</v>
      </c>
      <c r="H23" s="2">
        <v>0.70199999999999996</v>
      </c>
      <c r="I23" s="2">
        <v>10.709</v>
      </c>
      <c r="J23" s="2">
        <v>0.53400000000000003</v>
      </c>
      <c r="K23" s="2">
        <v>2.5489999999999999</v>
      </c>
      <c r="L23" s="2">
        <v>4.8250000000000002</v>
      </c>
      <c r="M23" s="2">
        <v>3.77</v>
      </c>
      <c r="N23" s="4">
        <f t="shared" si="1"/>
        <v>50.234000000000002</v>
      </c>
    </row>
    <row r="24" spans="1:14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1"/>
        <v>0</v>
      </c>
    </row>
    <row r="25" spans="1:14" ht="16.5" customHeight="1" x14ac:dyDescent="0.2">
      <c r="A25" s="9" t="s">
        <v>23</v>
      </c>
      <c r="B25" s="3">
        <v>686.89700000000016</v>
      </c>
      <c r="C25" s="2">
        <v>579.21799999999996</v>
      </c>
      <c r="D25" s="2">
        <v>623.38300000000004</v>
      </c>
      <c r="E25" s="2">
        <v>643.702</v>
      </c>
      <c r="F25" s="2">
        <v>603.42200000000003</v>
      </c>
      <c r="G25" s="2">
        <v>585.11500000000001</v>
      </c>
      <c r="H25" s="2">
        <v>726.92000000000007</v>
      </c>
      <c r="I25" s="2">
        <v>724.50299999999993</v>
      </c>
      <c r="J25" s="2">
        <v>711.23099999999999</v>
      </c>
      <c r="K25" s="2">
        <v>722.87299999999993</v>
      </c>
      <c r="L25" s="2">
        <v>619.62099999999998</v>
      </c>
      <c r="M25" s="2">
        <v>735.00799999999992</v>
      </c>
      <c r="N25" s="4">
        <f t="shared" si="1"/>
        <v>7961.8929999999991</v>
      </c>
    </row>
    <row r="26" spans="1:14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1"/>
        <v>0</v>
      </c>
    </row>
    <row r="27" spans="1:14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1"/>
        <v>0</v>
      </c>
    </row>
    <row r="28" spans="1:14" ht="16.5" customHeight="1" x14ac:dyDescent="0.2">
      <c r="A28" s="9" t="s">
        <v>26</v>
      </c>
      <c r="B28" s="3">
        <v>19.52</v>
      </c>
      <c r="C28" s="2">
        <v>10.037000000000001</v>
      </c>
      <c r="D28" s="2">
        <v>23.56</v>
      </c>
      <c r="E28" s="2">
        <v>22.831</v>
      </c>
      <c r="F28" s="2">
        <v>19.363</v>
      </c>
      <c r="G28" s="2">
        <v>9.5559999999999992</v>
      </c>
      <c r="H28" s="2">
        <v>20.873000000000001</v>
      </c>
      <c r="I28" s="2">
        <v>8.6720000000000006</v>
      </c>
      <c r="J28" s="2">
        <v>35.662999999999997</v>
      </c>
      <c r="K28" s="2">
        <v>23.259</v>
      </c>
      <c r="L28" s="2">
        <v>19.181000000000001</v>
      </c>
      <c r="M28" s="2">
        <v>13.42</v>
      </c>
      <c r="N28" s="4">
        <f t="shared" si="1"/>
        <v>225.935</v>
      </c>
    </row>
    <row r="29" spans="1:14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1"/>
        <v>0</v>
      </c>
    </row>
    <row r="30" spans="1:14" ht="16.5" customHeight="1" x14ac:dyDescent="0.2">
      <c r="A30" s="9" t="s">
        <v>28</v>
      </c>
      <c r="B30" s="3">
        <v>700.35699999999997</v>
      </c>
      <c r="C30" s="2">
        <v>693.91700000000003</v>
      </c>
      <c r="D30" s="2">
        <v>807.48199999999997</v>
      </c>
      <c r="E30" s="2">
        <v>765.40599999999995</v>
      </c>
      <c r="F30" s="2">
        <v>785</v>
      </c>
      <c r="G30" s="2">
        <v>738</v>
      </c>
      <c r="H30" s="2">
        <v>782.428</v>
      </c>
      <c r="I30" s="2">
        <v>885.99300000000005</v>
      </c>
      <c r="J30" s="2">
        <v>817</v>
      </c>
      <c r="K30" s="2">
        <v>825</v>
      </c>
      <c r="L30" s="2">
        <v>730.75099999999998</v>
      </c>
      <c r="M30" s="2">
        <v>754.048</v>
      </c>
      <c r="N30" s="4">
        <f t="shared" si="1"/>
        <v>9285.3820000000014</v>
      </c>
    </row>
    <row r="31" spans="1:14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1"/>
        <v>0</v>
      </c>
    </row>
    <row r="32" spans="1:14" ht="16.5" customHeight="1" x14ac:dyDescent="0.2">
      <c r="A32" s="9" t="s">
        <v>30</v>
      </c>
      <c r="B32" s="3">
        <v>146.23699999999999</v>
      </c>
      <c r="C32" s="2">
        <v>134.346</v>
      </c>
      <c r="D32" s="2">
        <v>158.14099999999999</v>
      </c>
      <c r="E32" s="2">
        <v>187.661</v>
      </c>
      <c r="F32" s="2">
        <v>181.678</v>
      </c>
      <c r="G32" s="2">
        <v>178.64500000000001</v>
      </c>
      <c r="H32" s="2">
        <v>171.666</v>
      </c>
      <c r="I32" s="2">
        <v>174.226</v>
      </c>
      <c r="J32" s="2">
        <v>113.833</v>
      </c>
      <c r="K32" s="2">
        <v>167.697</v>
      </c>
      <c r="L32" s="2">
        <v>176.881</v>
      </c>
      <c r="M32" s="2">
        <v>192.48500000000001</v>
      </c>
      <c r="N32" s="4">
        <f t="shared" si="1"/>
        <v>1983.4960000000001</v>
      </c>
    </row>
    <row r="33" spans="1:14" ht="16.5" customHeight="1" x14ac:dyDescent="0.2">
      <c r="A33" s="9" t="s">
        <v>31</v>
      </c>
      <c r="B33" s="3">
        <v>39.325000000000003</v>
      </c>
      <c r="C33" s="2">
        <v>21.713000000000001</v>
      </c>
      <c r="D33" s="2">
        <v>29.882000000000001</v>
      </c>
      <c r="E33" s="2">
        <v>5.4550000000000001</v>
      </c>
      <c r="F33" s="2">
        <v>11.266</v>
      </c>
      <c r="G33" s="2">
        <v>23.869</v>
      </c>
      <c r="H33" s="2">
        <v>15.808</v>
      </c>
      <c r="I33" s="2">
        <v>28.006</v>
      </c>
      <c r="J33" s="2">
        <v>11.228</v>
      </c>
      <c r="K33" s="2">
        <v>22.805</v>
      </c>
      <c r="L33" s="2">
        <v>22.248999999999999</v>
      </c>
      <c r="M33" s="2">
        <v>17.713000000000001</v>
      </c>
      <c r="N33" s="4">
        <f t="shared" si="1"/>
        <v>249.31899999999999</v>
      </c>
    </row>
    <row r="34" spans="1:14" ht="16.5" customHeight="1" x14ac:dyDescent="0.2">
      <c r="A34" s="9" t="s">
        <v>32</v>
      </c>
      <c r="B34" s="3">
        <v>7.609</v>
      </c>
      <c r="C34" s="2">
        <v>7.3650000000000002</v>
      </c>
      <c r="D34" s="2">
        <v>13.673999999999999</v>
      </c>
      <c r="E34" s="2">
        <v>0</v>
      </c>
      <c r="F34" s="2">
        <v>37.261000000000003</v>
      </c>
      <c r="G34" s="2">
        <v>0.71299999999999997</v>
      </c>
      <c r="H34" s="2">
        <v>23.945</v>
      </c>
      <c r="I34" s="2">
        <v>0.17399999999999999</v>
      </c>
      <c r="J34" s="2">
        <v>8.9649999999999999</v>
      </c>
      <c r="K34" s="2">
        <v>0.54700000000000004</v>
      </c>
      <c r="L34" s="2">
        <v>7.0570000000000004</v>
      </c>
      <c r="M34" s="2">
        <v>15.359</v>
      </c>
      <c r="N34" s="4">
        <f t="shared" si="1"/>
        <v>122.66900000000001</v>
      </c>
    </row>
    <row r="35" spans="1:14" ht="16.5" customHeight="1" x14ac:dyDescent="0.2">
      <c r="A35" s="9" t="s">
        <v>33</v>
      </c>
      <c r="B35" s="3">
        <v>46.822000000000003</v>
      </c>
      <c r="C35" s="2">
        <v>50.438000000000002</v>
      </c>
      <c r="D35" s="2">
        <v>38.875</v>
      </c>
      <c r="E35" s="2">
        <v>55.491</v>
      </c>
      <c r="F35" s="2">
        <v>19.989999999999998</v>
      </c>
      <c r="G35" s="2">
        <v>80.102000000000004</v>
      </c>
      <c r="H35" s="2">
        <v>38.484999999999999</v>
      </c>
      <c r="I35" s="2">
        <v>72.168000000000006</v>
      </c>
      <c r="J35" s="2">
        <v>54.463000000000001</v>
      </c>
      <c r="K35" s="2">
        <v>71.966999999999999</v>
      </c>
      <c r="L35" s="2">
        <v>59.889000000000003</v>
      </c>
      <c r="M35" s="2">
        <v>45.347000000000001</v>
      </c>
      <c r="N35" s="4">
        <f t="shared" si="1"/>
        <v>634.03700000000003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1"/>
        <v>0</v>
      </c>
    </row>
    <row r="37" spans="1:14" ht="16.5" customHeight="1" x14ac:dyDescent="0.2">
      <c r="A37" s="9" t="s">
        <v>35</v>
      </c>
      <c r="B37" s="3">
        <v>2098.2440000000001</v>
      </c>
      <c r="C37" s="2">
        <v>1766.4839999999999</v>
      </c>
      <c r="D37" s="2">
        <v>1953.569</v>
      </c>
      <c r="E37" s="2">
        <v>2077.1390000000001</v>
      </c>
      <c r="F37" s="2">
        <v>2129.7959999999998</v>
      </c>
      <c r="G37" s="2">
        <v>1906.671</v>
      </c>
      <c r="H37" s="2">
        <v>2141.096</v>
      </c>
      <c r="I37" s="2">
        <v>2189.4259999999999</v>
      </c>
      <c r="J37" s="2">
        <v>1970.3440000000001</v>
      </c>
      <c r="K37" s="2">
        <v>2154.31</v>
      </c>
      <c r="L37" s="2">
        <v>1997.1869999999999</v>
      </c>
      <c r="M37" s="2">
        <v>2093.0630000000001</v>
      </c>
      <c r="N37" s="4">
        <f t="shared" si="1"/>
        <v>24477.329000000005</v>
      </c>
    </row>
    <row r="38" spans="1:14" ht="16.5" customHeight="1" x14ac:dyDescent="0.2">
      <c r="A38" s="9" t="s">
        <v>36</v>
      </c>
      <c r="B38" s="3">
        <v>2.7629999999999999</v>
      </c>
      <c r="C38" s="2">
        <v>1.6539999999999999</v>
      </c>
      <c r="D38" s="2">
        <v>1.859</v>
      </c>
      <c r="E38" s="2">
        <v>2.254</v>
      </c>
      <c r="F38" s="2">
        <v>2.0089999999999999</v>
      </c>
      <c r="G38" s="2">
        <v>0</v>
      </c>
      <c r="H38" s="2">
        <v>0</v>
      </c>
      <c r="I38" s="2">
        <v>0</v>
      </c>
      <c r="J38" s="2">
        <v>0.16700000000000001</v>
      </c>
      <c r="K38" s="2">
        <v>1.6739999999999999</v>
      </c>
      <c r="L38" s="2">
        <v>3.7370000000000001</v>
      </c>
      <c r="M38" s="2">
        <v>3.0329999999999999</v>
      </c>
      <c r="N38" s="4">
        <f t="shared" si="1"/>
        <v>19.149999999999999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1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1"/>
        <v>0</v>
      </c>
    </row>
    <row r="41" spans="1:14" ht="16.5" customHeight="1" x14ac:dyDescent="0.2">
      <c r="A41" s="9" t="s">
        <v>39</v>
      </c>
      <c r="B41" s="3">
        <v>0</v>
      </c>
      <c r="C41" s="2">
        <v>3.653</v>
      </c>
      <c r="D41" s="2">
        <v>5.8390000000000004</v>
      </c>
      <c r="E41" s="2">
        <v>4.3550000000000004</v>
      </c>
      <c r="F41" s="2">
        <v>1.2569999999999999</v>
      </c>
      <c r="G41" s="2">
        <v>0</v>
      </c>
      <c r="H41" s="2">
        <v>9.2449999999999992</v>
      </c>
      <c r="I41" s="2">
        <v>8.6620000000000008</v>
      </c>
      <c r="J41" s="2">
        <v>0.03</v>
      </c>
      <c r="K41" s="2">
        <v>2.8159999999999998</v>
      </c>
      <c r="L41" s="2">
        <v>0.03</v>
      </c>
      <c r="M41" s="2">
        <v>0.19900000000000001</v>
      </c>
      <c r="N41" s="4">
        <f t="shared" si="1"/>
        <v>36.086000000000006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4.4409999999999998</v>
      </c>
      <c r="M42" s="2">
        <v>0</v>
      </c>
      <c r="N42" s="4">
        <f t="shared" si="1"/>
        <v>4.4409999999999998</v>
      </c>
    </row>
    <row r="43" spans="1:14" ht="16.5" customHeight="1" x14ac:dyDescent="0.2">
      <c r="A43" s="9" t="s">
        <v>40</v>
      </c>
      <c r="B43" s="3">
        <v>277.346</v>
      </c>
      <c r="C43" s="2">
        <v>268.38799999999998</v>
      </c>
      <c r="D43" s="2">
        <v>329.24400000000003</v>
      </c>
      <c r="E43" s="2">
        <v>365.64499999999998</v>
      </c>
      <c r="F43" s="2">
        <v>372.74299999999999</v>
      </c>
      <c r="G43" s="2">
        <v>294</v>
      </c>
      <c r="H43" s="2">
        <v>359.755</v>
      </c>
      <c r="I43" s="2">
        <v>346.33800000000002</v>
      </c>
      <c r="J43" s="2">
        <v>248.376</v>
      </c>
      <c r="K43" s="2">
        <v>350.66199999999998</v>
      </c>
      <c r="L43" s="2">
        <v>341.67200000000003</v>
      </c>
      <c r="M43" s="2">
        <v>389.07100000000003</v>
      </c>
      <c r="N43" s="4">
        <f t="shared" si="1"/>
        <v>3943.2400000000002</v>
      </c>
    </row>
    <row r="44" spans="1:14" ht="16.5" customHeight="1" x14ac:dyDescent="0.2">
      <c r="A44" s="9" t="s">
        <v>41</v>
      </c>
      <c r="B44" s="3">
        <v>30.626000000000001</v>
      </c>
      <c r="C44" s="2">
        <v>32.668999999999997</v>
      </c>
      <c r="D44" s="2">
        <v>30.946000000000002</v>
      </c>
      <c r="E44" s="2">
        <v>29.224</v>
      </c>
      <c r="F44" s="2">
        <v>30.315999999999999</v>
      </c>
      <c r="G44" s="2">
        <v>34.256</v>
      </c>
      <c r="H44" s="2">
        <v>31.303999999999998</v>
      </c>
      <c r="I44" s="2">
        <v>34.091000000000001</v>
      </c>
      <c r="J44" s="2">
        <v>30.913</v>
      </c>
      <c r="K44" s="2">
        <v>31.102</v>
      </c>
      <c r="L44" s="2">
        <v>40.463000000000001</v>
      </c>
      <c r="M44" s="2">
        <v>40.180999999999997</v>
      </c>
      <c r="N44" s="4">
        <f t="shared" si="1"/>
        <v>396.09100000000001</v>
      </c>
    </row>
    <row r="45" spans="1:14" ht="16.5" customHeight="1" x14ac:dyDescent="0.2">
      <c r="A45" s="9" t="s">
        <v>42</v>
      </c>
      <c r="B45" s="3">
        <v>153.34899999999999</v>
      </c>
      <c r="C45" s="2">
        <v>125.917</v>
      </c>
      <c r="D45" s="2">
        <v>132.70599999999999</v>
      </c>
      <c r="E45" s="2">
        <v>229.077</v>
      </c>
      <c r="F45" s="2">
        <v>199.56899999999999</v>
      </c>
      <c r="G45" s="2">
        <v>237.053</v>
      </c>
      <c r="H45" s="2">
        <v>253.94800000000001</v>
      </c>
      <c r="I45" s="2">
        <v>242.68600000000001</v>
      </c>
      <c r="J45" s="2">
        <v>250.68899999999999</v>
      </c>
      <c r="K45" s="2">
        <v>243.17</v>
      </c>
      <c r="L45" s="2">
        <v>231.46299999999999</v>
      </c>
      <c r="M45" s="2">
        <v>191.495</v>
      </c>
      <c r="N45" s="4">
        <f t="shared" si="1"/>
        <v>2491.1219999999998</v>
      </c>
    </row>
    <row r="46" spans="1:14" ht="16.5" customHeight="1" x14ac:dyDescent="0.2">
      <c r="A46" s="9" t="s">
        <v>43</v>
      </c>
      <c r="B46" s="3">
        <v>18.111999999999998</v>
      </c>
      <c r="C46" s="2">
        <v>19.619</v>
      </c>
      <c r="D46" s="2">
        <v>19.559999999999999</v>
      </c>
      <c r="E46" s="2">
        <v>19.899999999999999</v>
      </c>
      <c r="F46" s="2">
        <v>19.841999999999999</v>
      </c>
      <c r="G46" s="2">
        <v>15.452999999999999</v>
      </c>
      <c r="H46" s="2">
        <v>20.126999999999999</v>
      </c>
      <c r="I46" s="2">
        <v>22.963999999999999</v>
      </c>
      <c r="J46" s="2">
        <v>19.161000000000001</v>
      </c>
      <c r="K46" s="2">
        <v>25.329000000000001</v>
      </c>
      <c r="L46" s="2">
        <v>24.146999999999998</v>
      </c>
      <c r="M46" s="2">
        <v>33.164999999999999</v>
      </c>
      <c r="N46" s="4">
        <f t="shared" si="1"/>
        <v>257.37900000000002</v>
      </c>
    </row>
    <row r="47" spans="1:14" ht="16.5" customHeight="1" x14ac:dyDescent="0.2">
      <c r="A47" s="9" t="s">
        <v>44</v>
      </c>
      <c r="B47" s="3">
        <v>7.14</v>
      </c>
      <c r="C47" s="2">
        <v>6.3940000000000001</v>
      </c>
      <c r="D47" s="2">
        <v>7.8150000000000004</v>
      </c>
      <c r="E47" s="2">
        <v>7.5369999999999999</v>
      </c>
      <c r="F47" s="2">
        <v>7.19</v>
      </c>
      <c r="G47" s="2">
        <v>7.1109999999999998</v>
      </c>
      <c r="H47" s="2">
        <v>5.6539999999999999</v>
      </c>
      <c r="I47" s="2">
        <v>6.5140000000000002</v>
      </c>
      <c r="J47" s="2">
        <v>7.8239999999999998</v>
      </c>
      <c r="K47" s="2">
        <v>7.601</v>
      </c>
      <c r="L47" s="2">
        <v>7.3239999999999998</v>
      </c>
      <c r="M47" s="2">
        <v>6.165</v>
      </c>
      <c r="N47" s="4">
        <f t="shared" si="1"/>
        <v>84.269000000000005</v>
      </c>
    </row>
    <row r="48" spans="1:14" ht="16.5" customHeight="1" x14ac:dyDescent="0.2">
      <c r="A48" s="9" t="s">
        <v>45</v>
      </c>
      <c r="B48" s="3">
        <v>317.41800000000001</v>
      </c>
      <c r="C48" s="2">
        <v>281.90100000000001</v>
      </c>
      <c r="D48" s="2">
        <v>281.83300000000003</v>
      </c>
      <c r="E48" s="2">
        <v>317.40899999999999</v>
      </c>
      <c r="F48" s="2">
        <v>352</v>
      </c>
      <c r="G48" s="2">
        <v>311.46699999999998</v>
      </c>
      <c r="H48" s="2">
        <v>306.25</v>
      </c>
      <c r="I48" s="2">
        <v>314.50900000000001</v>
      </c>
      <c r="J48" s="2">
        <v>280.06</v>
      </c>
      <c r="K48" s="2">
        <v>308.89499999999998</v>
      </c>
      <c r="L48" s="2">
        <v>274.47899999999998</v>
      </c>
      <c r="M48" s="2">
        <v>313.57600000000002</v>
      </c>
      <c r="N48" s="4">
        <f t="shared" si="1"/>
        <v>3659.797</v>
      </c>
    </row>
    <row r="49" spans="1:14" ht="18" customHeight="1" x14ac:dyDescent="0.2">
      <c r="A49" s="10" t="s">
        <v>52</v>
      </c>
      <c r="B49" s="7">
        <v>242.82799999999952</v>
      </c>
      <c r="C49" s="5">
        <v>128.78200000000015</v>
      </c>
      <c r="D49" s="5">
        <v>283.97300000000001</v>
      </c>
      <c r="E49" s="5">
        <v>205.26200000000006</v>
      </c>
      <c r="F49" s="5">
        <v>249.08300000000003</v>
      </c>
      <c r="G49" s="5">
        <v>185.61499999999978</v>
      </c>
      <c r="H49" s="5">
        <v>244.69399999999769</v>
      </c>
      <c r="I49" s="5">
        <v>300.57000000000062</v>
      </c>
      <c r="J49" s="5">
        <v>245.65100000000007</v>
      </c>
      <c r="K49" s="5">
        <v>208.67100000000028</v>
      </c>
      <c r="L49" s="5">
        <v>151.09700000000248</v>
      </c>
      <c r="M49" s="5">
        <v>260.72200000000004</v>
      </c>
      <c r="N49" s="6">
        <f t="shared" si="1"/>
        <v>2706.9480000000008</v>
      </c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I54"/>
      <c r="J54"/>
      <c r="K5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pageSetUpPr fitToPage="1"/>
  </sheetPr>
  <dimension ref="A1:AB141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7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7" ht="16.5" customHeight="1" x14ac:dyDescent="0.3">
      <c r="A2" s="8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8"/>
    </row>
    <row r="4" spans="1:27" s="16" customFormat="1" ht="21" customHeight="1" x14ac:dyDescent="0.2">
      <c r="A4" s="11" t="s">
        <v>13</v>
      </c>
      <c r="B4" s="12">
        <v>42370</v>
      </c>
      <c r="C4" s="13">
        <v>42401</v>
      </c>
      <c r="D4" s="13">
        <v>42430</v>
      </c>
      <c r="E4" s="13">
        <v>42461</v>
      </c>
      <c r="F4" s="13">
        <v>42491</v>
      </c>
      <c r="G4" s="13">
        <v>42522</v>
      </c>
      <c r="H4" s="13">
        <v>42552</v>
      </c>
      <c r="I4" s="14">
        <v>42583</v>
      </c>
      <c r="J4" s="14">
        <v>42614</v>
      </c>
      <c r="K4" s="14">
        <v>42644</v>
      </c>
      <c r="L4" s="13">
        <v>42675</v>
      </c>
      <c r="M4" s="13">
        <v>42705</v>
      </c>
      <c r="N4" s="15" t="s">
        <v>49</v>
      </c>
    </row>
    <row r="5" spans="1:27" s="21" customFormat="1" ht="21" customHeight="1" x14ac:dyDescent="0.2">
      <c r="A5" s="17" t="s">
        <v>0</v>
      </c>
      <c r="B5" s="18">
        <v>14.269</v>
      </c>
      <c r="C5" s="19">
        <v>12.829000000000001</v>
      </c>
      <c r="D5" s="19">
        <v>13.781000000000001</v>
      </c>
      <c r="E5" s="19">
        <v>12.667</v>
      </c>
      <c r="F5" s="19">
        <v>11.262</v>
      </c>
      <c r="G5" s="19">
        <v>12.32</v>
      </c>
      <c r="H5" s="19">
        <v>13.37</v>
      </c>
      <c r="I5" s="19">
        <v>11.019</v>
      </c>
      <c r="J5" s="19">
        <v>9.8469999999999995</v>
      </c>
      <c r="K5" s="19">
        <v>10.147</v>
      </c>
      <c r="L5" s="19">
        <v>9.6769999999999996</v>
      </c>
      <c r="M5" s="19">
        <v>9.7070000000000007</v>
      </c>
      <c r="N5" s="20">
        <f>SUM(B5:M5)</f>
        <v>140.89499999999998</v>
      </c>
      <c r="P5" s="34"/>
    </row>
    <row r="6" spans="1:27" s="21" customFormat="1" ht="21" customHeight="1" x14ac:dyDescent="0.2">
      <c r="A6" s="22" t="s">
        <v>1</v>
      </c>
      <c r="B6" s="23">
        <v>5280</v>
      </c>
      <c r="C6" s="24">
        <v>5072</v>
      </c>
      <c r="D6" s="24">
        <v>5789</v>
      </c>
      <c r="E6" s="24">
        <v>5283</v>
      </c>
      <c r="F6" s="24">
        <v>4599</v>
      </c>
      <c r="G6" s="24">
        <v>4628</v>
      </c>
      <c r="H6" s="24">
        <v>5913</v>
      </c>
      <c r="I6" s="24">
        <v>5771</v>
      </c>
      <c r="J6" s="24">
        <v>5127</v>
      </c>
      <c r="K6" s="24">
        <v>5413</v>
      </c>
      <c r="L6" s="24">
        <v>5931</v>
      </c>
      <c r="M6" s="24">
        <v>5365</v>
      </c>
      <c r="N6" s="25">
        <f>SUM(B6:M6)</f>
        <v>64171</v>
      </c>
      <c r="P6" s="34"/>
    </row>
    <row r="7" spans="1:27" s="21" customFormat="1" ht="21" customHeight="1" x14ac:dyDescent="0.2">
      <c r="A7" s="26" t="s">
        <v>2</v>
      </c>
      <c r="B7" s="27">
        <v>52</v>
      </c>
      <c r="C7" s="28">
        <v>186</v>
      </c>
      <c r="D7" s="28">
        <v>-161</v>
      </c>
      <c r="E7" s="28">
        <v>10</v>
      </c>
      <c r="F7" s="28">
        <v>97</v>
      </c>
      <c r="G7" s="28">
        <v>-85</v>
      </c>
      <c r="H7" s="28">
        <v>-118</v>
      </c>
      <c r="I7" s="28">
        <v>-50</v>
      </c>
      <c r="J7" s="28">
        <v>21</v>
      </c>
      <c r="K7" s="28">
        <v>-24</v>
      </c>
      <c r="L7" s="28">
        <v>-135</v>
      </c>
      <c r="M7" s="28">
        <v>-215</v>
      </c>
      <c r="N7" s="29">
        <f t="shared" ref="N7:N49" si="0">SUM(B7:M7)</f>
        <v>-422</v>
      </c>
      <c r="P7" s="34"/>
    </row>
    <row r="8" spans="1:27" s="21" customFormat="1" ht="21" customHeight="1" x14ac:dyDescent="0.2">
      <c r="A8" s="26" t="s">
        <v>3</v>
      </c>
      <c r="B8" s="27">
        <v>86</v>
      </c>
      <c r="C8" s="28">
        <v>58</v>
      </c>
      <c r="D8" s="28">
        <v>386</v>
      </c>
      <c r="E8" s="28">
        <v>160</v>
      </c>
      <c r="F8" s="28">
        <v>-100</v>
      </c>
      <c r="G8" s="28">
        <v>-339</v>
      </c>
      <c r="H8" s="28">
        <v>182</v>
      </c>
      <c r="I8" s="28">
        <v>122</v>
      </c>
      <c r="J8" s="28">
        <v>-243</v>
      </c>
      <c r="K8" s="28">
        <v>-623</v>
      </c>
      <c r="L8" s="28">
        <v>90</v>
      </c>
      <c r="M8" s="28">
        <v>-455</v>
      </c>
      <c r="N8" s="29">
        <f t="shared" si="0"/>
        <v>-676</v>
      </c>
      <c r="P8" s="34"/>
    </row>
    <row r="9" spans="1:27" s="21" customFormat="1" ht="21" customHeight="1" x14ac:dyDescent="0.2">
      <c r="A9" s="26" t="s">
        <v>4</v>
      </c>
      <c r="B9" s="27">
        <v>183</v>
      </c>
      <c r="C9" s="28">
        <v>345</v>
      </c>
      <c r="D9" s="28">
        <v>-255</v>
      </c>
      <c r="E9" s="28">
        <v>7</v>
      </c>
      <c r="F9" s="28">
        <v>-155</v>
      </c>
      <c r="G9" s="28">
        <v>-71</v>
      </c>
      <c r="H9" s="28">
        <v>31</v>
      </c>
      <c r="I9" s="28">
        <v>51</v>
      </c>
      <c r="J9" s="28">
        <v>68</v>
      </c>
      <c r="K9" s="28">
        <v>19</v>
      </c>
      <c r="L9" s="28">
        <v>42</v>
      </c>
      <c r="M9" s="28">
        <v>-72</v>
      </c>
      <c r="N9" s="29">
        <f t="shared" si="0"/>
        <v>193</v>
      </c>
      <c r="P9" s="34"/>
    </row>
    <row r="10" spans="1:27" s="21" customFormat="1" ht="21" customHeight="1" x14ac:dyDescent="0.2">
      <c r="A10" s="26" t="s">
        <v>5</v>
      </c>
      <c r="B10" s="27">
        <v>161</v>
      </c>
      <c r="C10" s="28">
        <v>161</v>
      </c>
      <c r="D10" s="28">
        <v>10</v>
      </c>
      <c r="E10" s="28">
        <v>14</v>
      </c>
      <c r="F10" s="28">
        <v>137</v>
      </c>
      <c r="G10" s="28">
        <v>114</v>
      </c>
      <c r="H10" s="28">
        <v>191</v>
      </c>
      <c r="I10" s="28">
        <v>108</v>
      </c>
      <c r="J10" s="28">
        <v>49</v>
      </c>
      <c r="K10" s="28">
        <v>45</v>
      </c>
      <c r="L10" s="28">
        <v>178</v>
      </c>
      <c r="M10" s="28">
        <v>155</v>
      </c>
      <c r="N10" s="29">
        <f t="shared" si="0"/>
        <v>1323</v>
      </c>
      <c r="P10" s="34"/>
    </row>
    <row r="11" spans="1:27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</row>
    <row r="12" spans="1:27" s="31" customFormat="1" ht="21" customHeight="1" x14ac:dyDescent="0.2">
      <c r="A12" s="22" t="s">
        <v>7</v>
      </c>
      <c r="B12" s="24">
        <v>5238.2690000000002</v>
      </c>
      <c r="C12" s="24">
        <v>5028.8289999999997</v>
      </c>
      <c r="D12" s="24">
        <v>5520.7809999999999</v>
      </c>
      <c r="E12" s="24">
        <v>5152.6670000000004</v>
      </c>
      <c r="F12" s="24">
        <v>5099.2619999999997</v>
      </c>
      <c r="G12" s="24">
        <v>5079.32</v>
      </c>
      <c r="H12" s="24">
        <v>5786.37</v>
      </c>
      <c r="I12" s="24">
        <v>5667.0190000000002</v>
      </c>
      <c r="J12" s="24">
        <v>5381.8469999999998</v>
      </c>
      <c r="K12" s="24">
        <v>6048.1469999999999</v>
      </c>
      <c r="L12" s="24">
        <v>5851.6769999999997</v>
      </c>
      <c r="M12" s="24">
        <v>5841.7070000000003</v>
      </c>
      <c r="N12" s="25">
        <f>SUM(B12:M12)</f>
        <v>65695.89499999999</v>
      </c>
      <c r="P12" s="34"/>
    </row>
    <row r="13" spans="1:27" s="21" customFormat="1" ht="21" customHeight="1" x14ac:dyDescent="0.2">
      <c r="A13" s="26" t="s">
        <v>12</v>
      </c>
      <c r="B13" s="27">
        <v>5208</v>
      </c>
      <c r="C13" s="28">
        <v>5027</v>
      </c>
      <c r="D13" s="28">
        <v>5417</v>
      </c>
      <c r="E13" s="28">
        <v>5136</v>
      </c>
      <c r="F13" s="28">
        <v>4710</v>
      </c>
      <c r="G13" s="28">
        <v>4979</v>
      </c>
      <c r="H13" s="28">
        <v>5744</v>
      </c>
      <c r="I13" s="28">
        <v>5660</v>
      </c>
      <c r="J13" s="28">
        <v>5380</v>
      </c>
      <c r="K13" s="28">
        <v>6046</v>
      </c>
      <c r="L13" s="28">
        <v>5851</v>
      </c>
      <c r="M13" s="28">
        <v>5830</v>
      </c>
      <c r="N13" s="29">
        <f t="shared" si="0"/>
        <v>64988</v>
      </c>
      <c r="P13" s="34"/>
    </row>
    <row r="14" spans="1:27" s="21" customFormat="1" ht="21" customHeight="1" x14ac:dyDescent="0.2">
      <c r="A14" s="26" t="s">
        <v>8</v>
      </c>
      <c r="B14" s="27">
        <v>46.441999999999098</v>
      </c>
      <c r="C14" s="28">
        <v>63.155999999999949</v>
      </c>
      <c r="D14" s="28">
        <v>32</v>
      </c>
      <c r="E14" s="28">
        <v>43.875</v>
      </c>
      <c r="F14" s="28">
        <v>31</v>
      </c>
      <c r="G14" s="28">
        <v>42</v>
      </c>
      <c r="H14" s="28">
        <v>30.666000000000167</v>
      </c>
      <c r="I14" s="28">
        <v>109</v>
      </c>
      <c r="J14" s="28">
        <v>85</v>
      </c>
      <c r="K14" s="28">
        <v>122</v>
      </c>
      <c r="L14" s="28">
        <v>112.79700000000139</v>
      </c>
      <c r="M14" s="28">
        <v>23</v>
      </c>
      <c r="N14" s="29">
        <f t="shared" si="0"/>
        <v>740.9360000000006</v>
      </c>
      <c r="P14" s="36"/>
    </row>
    <row r="15" spans="1:27" s="32" customFormat="1" ht="21" customHeight="1" x14ac:dyDescent="0.2">
      <c r="A15" s="22" t="s">
        <v>9</v>
      </c>
      <c r="B15" s="24">
        <f t="shared" ref="B15:M15" si="1">SUM(B16:B49)</f>
        <v>5191.5580000000009</v>
      </c>
      <c r="C15" s="24">
        <f t="shared" si="1"/>
        <v>4965.8440000000001</v>
      </c>
      <c r="D15" s="24">
        <f t="shared" si="1"/>
        <v>5489</v>
      </c>
      <c r="E15" s="24">
        <f t="shared" si="1"/>
        <v>5109.125</v>
      </c>
      <c r="F15" s="24">
        <f t="shared" si="1"/>
        <v>5068</v>
      </c>
      <c r="G15" s="24">
        <f t="shared" si="1"/>
        <v>5037</v>
      </c>
      <c r="H15" s="24">
        <f t="shared" si="1"/>
        <v>5755.3339999999998</v>
      </c>
      <c r="I15" s="24">
        <f t="shared" si="1"/>
        <v>5558</v>
      </c>
      <c r="J15" s="24">
        <f t="shared" si="1"/>
        <v>5297</v>
      </c>
      <c r="K15" s="24">
        <f t="shared" si="1"/>
        <v>5926</v>
      </c>
      <c r="L15" s="24">
        <f t="shared" si="1"/>
        <v>5739.2029999999986</v>
      </c>
      <c r="M15" s="24">
        <f t="shared" si="1"/>
        <v>5819</v>
      </c>
      <c r="N15" s="25">
        <f t="shared" si="0"/>
        <v>64955.064000000006</v>
      </c>
      <c r="P15"/>
      <c r="Q15"/>
      <c r="R15"/>
      <c r="S15"/>
      <c r="T15"/>
      <c r="U15"/>
      <c r="V15"/>
      <c r="W15"/>
      <c r="X15"/>
      <c r="Y15"/>
      <c r="Z15"/>
      <c r="AA15"/>
    </row>
    <row r="16" spans="1:27" ht="16.5" customHeight="1" x14ac:dyDescent="0.2">
      <c r="A16" s="9" t="s">
        <v>14</v>
      </c>
      <c r="B16" s="3">
        <v>190.655</v>
      </c>
      <c r="C16" s="2">
        <v>176.96799999999999</v>
      </c>
      <c r="D16" s="2">
        <v>196.029</v>
      </c>
      <c r="E16" s="2">
        <v>180.364</v>
      </c>
      <c r="F16" s="2">
        <v>184.72</v>
      </c>
      <c r="G16" s="2">
        <v>179.08799999999999</v>
      </c>
      <c r="H16" s="2">
        <v>192.23699999999999</v>
      </c>
      <c r="I16" s="2">
        <v>199.16200000000001</v>
      </c>
      <c r="J16" s="2">
        <v>187.67099999999999</v>
      </c>
      <c r="K16" s="2">
        <v>249</v>
      </c>
      <c r="L16" s="2">
        <v>236</v>
      </c>
      <c r="M16" s="2">
        <v>193.98</v>
      </c>
      <c r="N16" s="4">
        <f t="shared" si="0"/>
        <v>2365.8740000000003</v>
      </c>
    </row>
    <row r="17" spans="1:27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</row>
    <row r="18" spans="1:27" ht="16.5" customHeight="1" x14ac:dyDescent="0.2">
      <c r="A18" s="9" t="s">
        <v>16</v>
      </c>
      <c r="B18" s="3">
        <v>94.311999999999998</v>
      </c>
      <c r="C18" s="2">
        <v>99.537999999999997</v>
      </c>
      <c r="D18" s="2">
        <v>106.246</v>
      </c>
      <c r="E18" s="2">
        <v>96.412999999999997</v>
      </c>
      <c r="F18" s="2">
        <v>102.111</v>
      </c>
      <c r="G18" s="2">
        <v>92.77</v>
      </c>
      <c r="H18" s="2">
        <v>94.816999999999993</v>
      </c>
      <c r="I18" s="2">
        <v>100.056</v>
      </c>
      <c r="J18" s="2">
        <v>89.67</v>
      </c>
      <c r="K18" s="2">
        <v>95.742999999999995</v>
      </c>
      <c r="L18" s="2">
        <v>100.13500000000001</v>
      </c>
      <c r="M18" s="2">
        <v>106.259</v>
      </c>
      <c r="N18" s="4">
        <f t="shared" si="0"/>
        <v>1178.07</v>
      </c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</row>
    <row r="19" spans="1:27" ht="16.5" customHeight="1" x14ac:dyDescent="0.2">
      <c r="A19" s="9" t="s">
        <v>17</v>
      </c>
      <c r="B19" s="3">
        <v>29.688000000000002</v>
      </c>
      <c r="C19" s="2">
        <v>32.462000000000003</v>
      </c>
      <c r="D19" s="2">
        <v>38.754000000000005</v>
      </c>
      <c r="E19" s="2">
        <v>38.587000000000003</v>
      </c>
      <c r="F19" s="2">
        <v>33.888999999999996</v>
      </c>
      <c r="G19" s="2">
        <v>51.230000000000004</v>
      </c>
      <c r="H19" s="2">
        <v>23.183000000000007</v>
      </c>
      <c r="I19" s="2">
        <v>26.944000000000003</v>
      </c>
      <c r="J19" s="2">
        <v>10.329999999999998</v>
      </c>
      <c r="K19" s="2">
        <v>31.257000000000005</v>
      </c>
      <c r="L19" s="2">
        <v>18.864999999999995</v>
      </c>
      <c r="M19" s="2">
        <v>27.741</v>
      </c>
      <c r="N19" s="4">
        <f t="shared" si="0"/>
        <v>362.93</v>
      </c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</row>
    <row r="20" spans="1:27" ht="16.5" customHeight="1" x14ac:dyDescent="0.2">
      <c r="A20" s="9" t="s">
        <v>18</v>
      </c>
      <c r="B20" s="3">
        <v>91</v>
      </c>
      <c r="C20" s="2">
        <v>77</v>
      </c>
      <c r="D20" s="2">
        <v>109</v>
      </c>
      <c r="E20" s="2">
        <v>99</v>
      </c>
      <c r="F20" s="2">
        <v>102</v>
      </c>
      <c r="G20" s="2">
        <v>109</v>
      </c>
      <c r="H20" s="2">
        <v>113</v>
      </c>
      <c r="I20" s="2">
        <v>107</v>
      </c>
      <c r="J20" s="2">
        <v>93</v>
      </c>
      <c r="K20" s="2">
        <v>94</v>
      </c>
      <c r="L20" s="2">
        <v>99</v>
      </c>
      <c r="M20" s="2">
        <v>101</v>
      </c>
      <c r="N20" s="4">
        <f t="shared" si="0"/>
        <v>1194</v>
      </c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</row>
    <row r="21" spans="1:27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</row>
    <row r="22" spans="1:27" ht="16.5" customHeight="1" x14ac:dyDescent="0.2">
      <c r="A22" s="9" t="s">
        <v>20</v>
      </c>
      <c r="B22" s="3">
        <v>101.456</v>
      </c>
      <c r="C22" s="2">
        <v>87.296999999999997</v>
      </c>
      <c r="D22" s="2">
        <v>63.612000000000002</v>
      </c>
      <c r="E22" s="2">
        <v>71.397000000000006</v>
      </c>
      <c r="F22" s="2">
        <v>99.908000000000001</v>
      </c>
      <c r="G22" s="2">
        <v>72.186000000000007</v>
      </c>
      <c r="H22" s="2">
        <v>86.935000000000002</v>
      </c>
      <c r="I22" s="2">
        <v>97.518000000000001</v>
      </c>
      <c r="J22" s="2">
        <v>87.596999999999994</v>
      </c>
      <c r="K22" s="2">
        <v>84.971000000000004</v>
      </c>
      <c r="L22" s="2">
        <v>81.659000000000006</v>
      </c>
      <c r="M22" s="2">
        <v>84.465000000000003</v>
      </c>
      <c r="N22" s="4">
        <f t="shared" si="0"/>
        <v>1019.001</v>
      </c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</row>
    <row r="23" spans="1:27" ht="16.5" customHeight="1" x14ac:dyDescent="0.2">
      <c r="A23" s="9" t="s">
        <v>21</v>
      </c>
      <c r="B23" s="3">
        <v>5.1269999999999998</v>
      </c>
      <c r="C23" s="2">
        <v>2.1909999999999998</v>
      </c>
      <c r="D23" s="2">
        <v>3.077</v>
      </c>
      <c r="E23" s="2">
        <v>7.0620000000000003</v>
      </c>
      <c r="F23" s="2">
        <v>6.3970000000000002</v>
      </c>
      <c r="G23" s="2">
        <v>0</v>
      </c>
      <c r="H23" s="2">
        <v>6.5439999999999996</v>
      </c>
      <c r="I23" s="2">
        <v>2.278</v>
      </c>
      <c r="J23" s="2">
        <v>5.7510000000000003</v>
      </c>
      <c r="K23" s="2">
        <v>6.8819999999999997</v>
      </c>
      <c r="L23" s="2">
        <v>8.0670000000000002</v>
      </c>
      <c r="M23" s="2">
        <v>6.758</v>
      </c>
      <c r="N23" s="4">
        <f t="shared" si="0"/>
        <v>60.134</v>
      </c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</row>
    <row r="24" spans="1:27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</row>
    <row r="25" spans="1:27" ht="16.5" customHeight="1" x14ac:dyDescent="0.2">
      <c r="A25" s="9" t="s">
        <v>23</v>
      </c>
      <c r="B25" s="3">
        <v>695.89600000000007</v>
      </c>
      <c r="C25" s="2">
        <v>668.17100000000005</v>
      </c>
      <c r="D25" s="2">
        <v>786.54300000000001</v>
      </c>
      <c r="E25" s="2">
        <v>761.31500000000005</v>
      </c>
      <c r="F25" s="2">
        <v>714.577</v>
      </c>
      <c r="G25" s="2">
        <v>669.30099999999993</v>
      </c>
      <c r="H25" s="2">
        <v>712.27699999999993</v>
      </c>
      <c r="I25" s="2">
        <v>647.3660000000001</v>
      </c>
      <c r="J25" s="2">
        <v>646.17700000000002</v>
      </c>
      <c r="K25" s="2">
        <v>720.02199999999993</v>
      </c>
      <c r="L25" s="2">
        <v>705.45900000000006</v>
      </c>
      <c r="M25" s="2">
        <v>748.77700000000004</v>
      </c>
      <c r="N25" s="4">
        <f t="shared" si="0"/>
        <v>8475.8809999999994</v>
      </c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 spans="1:27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</row>
    <row r="27" spans="1:27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</row>
    <row r="28" spans="1:27" ht="16.5" customHeight="1" x14ac:dyDescent="0.2">
      <c r="A28" s="9" t="s">
        <v>26</v>
      </c>
      <c r="B28" s="3">
        <v>16.582999999999998</v>
      </c>
      <c r="C28" s="2">
        <v>14.736000000000001</v>
      </c>
      <c r="D28" s="2">
        <v>15.273</v>
      </c>
      <c r="E28" s="2">
        <v>7.8280000000000003</v>
      </c>
      <c r="F28" s="2">
        <v>14.721</v>
      </c>
      <c r="G28" s="2">
        <v>23.523</v>
      </c>
      <c r="H28" s="2">
        <v>19.21</v>
      </c>
      <c r="I28" s="2">
        <v>17.274999999999999</v>
      </c>
      <c r="J28" s="2">
        <v>19.547000000000001</v>
      </c>
      <c r="K28" s="2">
        <v>20.745999999999999</v>
      </c>
      <c r="L28" s="2">
        <v>23.321999999999999</v>
      </c>
      <c r="M28" s="2">
        <v>20.844000000000001</v>
      </c>
      <c r="N28" s="4">
        <f t="shared" si="0"/>
        <v>213.608</v>
      </c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</row>
    <row r="29" spans="1:27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</row>
    <row r="30" spans="1:27" ht="16.5" customHeight="1" x14ac:dyDescent="0.2">
      <c r="A30" s="9" t="s">
        <v>28</v>
      </c>
      <c r="B30" s="3">
        <v>671</v>
      </c>
      <c r="C30" s="2">
        <v>630.17600000000004</v>
      </c>
      <c r="D30" s="2">
        <v>754</v>
      </c>
      <c r="E30" s="2">
        <v>698.16600000000005</v>
      </c>
      <c r="F30" s="2">
        <v>654</v>
      </c>
      <c r="G30" s="2">
        <v>625</v>
      </c>
      <c r="H30" s="2">
        <v>815.64</v>
      </c>
      <c r="I30" s="2">
        <v>802</v>
      </c>
      <c r="J30" s="2">
        <v>745</v>
      </c>
      <c r="K30" s="2">
        <v>743</v>
      </c>
      <c r="L30" s="2">
        <v>776.63199999999995</v>
      </c>
      <c r="M30" s="2">
        <v>758</v>
      </c>
      <c r="N30" s="4">
        <f t="shared" si="0"/>
        <v>8672.6139999999996</v>
      </c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</row>
    <row r="31" spans="1:27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</row>
    <row r="32" spans="1:27" ht="16.5" customHeight="1" x14ac:dyDescent="0.2">
      <c r="A32" s="9" t="s">
        <v>30</v>
      </c>
      <c r="B32" s="3">
        <v>172.71199999999999</v>
      </c>
      <c r="C32" s="2">
        <v>167.43</v>
      </c>
      <c r="D32" s="2">
        <v>171.14500000000001</v>
      </c>
      <c r="E32" s="2">
        <v>190.12899999999999</v>
      </c>
      <c r="F32" s="2">
        <v>287.98200000000003</v>
      </c>
      <c r="G32" s="2">
        <v>275.37400000000002</v>
      </c>
      <c r="H32" s="2">
        <v>270.09100000000001</v>
      </c>
      <c r="I32" s="2">
        <v>306.43099999999998</v>
      </c>
      <c r="J32" s="2">
        <v>274.84399999999999</v>
      </c>
      <c r="K32" s="2">
        <v>271.23099999999999</v>
      </c>
      <c r="L32" s="2">
        <v>240.55600000000001</v>
      </c>
      <c r="M32" s="2">
        <v>276.68099999999998</v>
      </c>
      <c r="N32" s="4">
        <f t="shared" si="0"/>
        <v>2904.6060000000007</v>
      </c>
    </row>
    <row r="33" spans="1:14" ht="16.5" customHeight="1" x14ac:dyDescent="0.2">
      <c r="A33" s="9" t="s">
        <v>31</v>
      </c>
      <c r="B33" s="3">
        <v>33.061999999999998</v>
      </c>
      <c r="C33" s="2">
        <v>17.404</v>
      </c>
      <c r="D33" s="2">
        <v>32.011000000000003</v>
      </c>
      <c r="E33" s="2">
        <v>10.576000000000001</v>
      </c>
      <c r="F33" s="2">
        <v>23.451000000000001</v>
      </c>
      <c r="G33" s="2">
        <v>14.967000000000001</v>
      </c>
      <c r="H33" s="2">
        <v>16.946000000000002</v>
      </c>
      <c r="I33" s="2">
        <v>11.346</v>
      </c>
      <c r="J33" s="2">
        <v>25.416</v>
      </c>
      <c r="K33" s="2">
        <v>24.039000000000001</v>
      </c>
      <c r="L33" s="2">
        <v>31.463999999999999</v>
      </c>
      <c r="M33" s="2">
        <v>27.5</v>
      </c>
      <c r="N33" s="4">
        <f t="shared" si="0"/>
        <v>268.18200000000002</v>
      </c>
    </row>
    <row r="34" spans="1:14" ht="16.5" customHeight="1" x14ac:dyDescent="0.2">
      <c r="A34" s="9" t="s">
        <v>32</v>
      </c>
      <c r="B34" s="3">
        <v>24.323</v>
      </c>
      <c r="C34" s="2">
        <v>13.727</v>
      </c>
      <c r="D34" s="2">
        <v>0</v>
      </c>
      <c r="E34" s="2">
        <v>5.0970000000000004</v>
      </c>
      <c r="F34" s="2">
        <v>4.1619999999999999</v>
      </c>
      <c r="G34" s="2">
        <v>5.391</v>
      </c>
      <c r="H34" s="2">
        <v>0</v>
      </c>
      <c r="I34" s="2">
        <v>22.846</v>
      </c>
      <c r="J34" s="2">
        <v>0</v>
      </c>
      <c r="K34" s="2">
        <v>1.9990000000000001</v>
      </c>
      <c r="L34" s="2">
        <v>0</v>
      </c>
      <c r="M34" s="2">
        <v>7.452</v>
      </c>
      <c r="N34" s="4">
        <f t="shared" si="0"/>
        <v>84.996999999999986</v>
      </c>
    </row>
    <row r="35" spans="1:14" ht="16.5" customHeight="1" x14ac:dyDescent="0.2">
      <c r="A35" s="9" t="s">
        <v>33</v>
      </c>
      <c r="B35" s="3">
        <v>33.555999999999997</v>
      </c>
      <c r="C35" s="2">
        <v>41.628999999999998</v>
      </c>
      <c r="D35" s="2">
        <v>62.247</v>
      </c>
      <c r="E35" s="2">
        <v>44.527999999999999</v>
      </c>
      <c r="F35" s="2">
        <v>41.445999999999998</v>
      </c>
      <c r="G35" s="2">
        <v>42.683999999999997</v>
      </c>
      <c r="H35" s="2">
        <v>59.767000000000003</v>
      </c>
      <c r="I35" s="2">
        <v>17.039000000000001</v>
      </c>
      <c r="J35" s="2">
        <v>49.439</v>
      </c>
      <c r="K35" s="2">
        <v>50.536999999999999</v>
      </c>
      <c r="L35" s="2">
        <v>47.475000000000001</v>
      </c>
      <c r="M35" s="2">
        <v>40.360999999999997</v>
      </c>
      <c r="N35" s="4">
        <f t="shared" si="0"/>
        <v>530.70800000000008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1946.059</v>
      </c>
      <c r="C37" s="2">
        <v>1966.24</v>
      </c>
      <c r="D37" s="2">
        <v>2016.259</v>
      </c>
      <c r="E37" s="2">
        <v>1834.828</v>
      </c>
      <c r="F37" s="2">
        <v>1627.855</v>
      </c>
      <c r="G37" s="2">
        <v>1706.0830000000001</v>
      </c>
      <c r="H37" s="2">
        <v>2021.1089999999999</v>
      </c>
      <c r="I37" s="2">
        <v>1871.605</v>
      </c>
      <c r="J37" s="2">
        <v>1817.4069999999999</v>
      </c>
      <c r="K37" s="2">
        <v>1975.251</v>
      </c>
      <c r="L37" s="2">
        <v>2024.4690000000001</v>
      </c>
      <c r="M37" s="2">
        <v>2046.6869999999999</v>
      </c>
      <c r="N37" s="4">
        <f t="shared" si="0"/>
        <v>22853.851999999999</v>
      </c>
    </row>
    <row r="38" spans="1:14" ht="16.5" customHeight="1" x14ac:dyDescent="0.2">
      <c r="A38" s="9" t="s">
        <v>36</v>
      </c>
      <c r="B38" s="3">
        <v>4.2880000000000003</v>
      </c>
      <c r="C38" s="2">
        <v>4.57</v>
      </c>
      <c r="D38" s="2">
        <v>0.33800000000000002</v>
      </c>
      <c r="E38" s="2">
        <v>0.84199999999999997</v>
      </c>
      <c r="F38" s="2">
        <v>2.1040000000000001</v>
      </c>
      <c r="G38" s="2">
        <v>6.5010000000000003</v>
      </c>
      <c r="H38" s="2">
        <v>7.0869999999999997</v>
      </c>
      <c r="I38" s="2">
        <v>7.7329999999999997</v>
      </c>
      <c r="J38" s="2">
        <v>12.894</v>
      </c>
      <c r="K38" s="2">
        <v>5.9429999999999996</v>
      </c>
      <c r="L38" s="2">
        <v>2.036</v>
      </c>
      <c r="M38" s="2">
        <v>10.319000000000001</v>
      </c>
      <c r="N38" s="4">
        <f t="shared" si="0"/>
        <v>64.655000000000001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1.0999999999999999E-2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1.0999999999999999E-2</v>
      </c>
    </row>
    <row r="41" spans="1:14" ht="16.5" customHeight="1" x14ac:dyDescent="0.2">
      <c r="A41" s="9" t="s">
        <v>39</v>
      </c>
      <c r="B41" s="3">
        <v>0.72799999999999998</v>
      </c>
      <c r="C41" s="2">
        <v>2.1999999999999999E-2</v>
      </c>
      <c r="D41" s="2">
        <v>1.1499999999999999</v>
      </c>
      <c r="E41" s="2">
        <v>0.85799999999999998</v>
      </c>
      <c r="F41" s="2">
        <v>3.1E-2</v>
      </c>
      <c r="G41" s="2">
        <v>0.03</v>
      </c>
      <c r="H41" s="2">
        <v>1.621</v>
      </c>
      <c r="I41" s="2">
        <v>2.9000000000000001E-2</v>
      </c>
      <c r="J41" s="2">
        <v>0.03</v>
      </c>
      <c r="K41" s="2">
        <v>1.8680000000000001</v>
      </c>
      <c r="L41" s="2">
        <v>0.47699999999999998</v>
      </c>
      <c r="M41" s="2">
        <v>3.1E-2</v>
      </c>
      <c r="N41" s="4">
        <f t="shared" si="0"/>
        <v>6.875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1.5449999999999999</v>
      </c>
      <c r="H42" s="2">
        <v>0.8</v>
      </c>
      <c r="I42" s="2">
        <v>0</v>
      </c>
      <c r="J42" s="2">
        <v>0.91800000000000004</v>
      </c>
      <c r="K42" s="2">
        <v>1.0760000000000001</v>
      </c>
      <c r="L42" s="2">
        <v>0.81599999999999995</v>
      </c>
      <c r="M42" s="2">
        <v>4.2999999999999997E-2</v>
      </c>
      <c r="N42" s="4">
        <f t="shared" si="0"/>
        <v>5.1980000000000004</v>
      </c>
    </row>
    <row r="43" spans="1:14" ht="16.5" customHeight="1" x14ac:dyDescent="0.2">
      <c r="A43" s="9" t="s">
        <v>40</v>
      </c>
      <c r="B43" s="3">
        <v>321.34899999999999</v>
      </c>
      <c r="C43" s="2">
        <v>292.30099999999999</v>
      </c>
      <c r="D43" s="2">
        <v>362.99599999999998</v>
      </c>
      <c r="E43" s="2">
        <v>320.37699999999995</v>
      </c>
      <c r="F43" s="2">
        <v>421.50900000000001</v>
      </c>
      <c r="G43" s="2">
        <v>375.91699999999997</v>
      </c>
      <c r="H43" s="2">
        <v>493.86900000000003</v>
      </c>
      <c r="I43" s="2">
        <v>506.96300000000002</v>
      </c>
      <c r="J43" s="2">
        <v>485.84100000000001</v>
      </c>
      <c r="K43" s="2">
        <v>546.92200000000003</v>
      </c>
      <c r="L43" s="2">
        <v>481.77100000000002</v>
      </c>
      <c r="M43" s="2">
        <v>487.36900000000003</v>
      </c>
      <c r="N43" s="4">
        <f t="shared" si="0"/>
        <v>5097.1839999999993</v>
      </c>
    </row>
    <row r="44" spans="1:14" ht="16.5" customHeight="1" x14ac:dyDescent="0.2">
      <c r="A44" s="9" t="s">
        <v>41</v>
      </c>
      <c r="B44" s="3">
        <v>36.536999999999999</v>
      </c>
      <c r="C44" s="2">
        <v>26.146000000000001</v>
      </c>
      <c r="D44" s="2">
        <v>33.747</v>
      </c>
      <c r="E44" s="2">
        <v>34.639000000000003</v>
      </c>
      <c r="F44" s="2">
        <v>34.396999999999998</v>
      </c>
      <c r="G44" s="2">
        <v>32.195</v>
      </c>
      <c r="H44" s="2">
        <v>31.245000000000001</v>
      </c>
      <c r="I44" s="2">
        <v>36.536999999999999</v>
      </c>
      <c r="J44" s="2">
        <v>38.884</v>
      </c>
      <c r="K44" s="2">
        <v>31.568999999999999</v>
      </c>
      <c r="L44" s="2">
        <v>35.606000000000002</v>
      </c>
      <c r="M44" s="2">
        <v>37.311999999999998</v>
      </c>
      <c r="N44" s="4">
        <f t="shared" si="0"/>
        <v>408.81400000000002</v>
      </c>
    </row>
    <row r="45" spans="1:14" ht="16.5" customHeight="1" x14ac:dyDescent="0.2">
      <c r="A45" s="9" t="s">
        <v>42</v>
      </c>
      <c r="B45" s="3">
        <v>185.90199999999999</v>
      </c>
      <c r="C45" s="2">
        <v>146.58600000000001</v>
      </c>
      <c r="D45" s="2">
        <v>206.703</v>
      </c>
      <c r="E45" s="2">
        <v>219.619</v>
      </c>
      <c r="F45" s="2">
        <v>235.26300000000001</v>
      </c>
      <c r="G45" s="2">
        <v>239.11500000000001</v>
      </c>
      <c r="H45" s="2">
        <v>213.79400000000001</v>
      </c>
      <c r="I45" s="2">
        <v>158.07599999999999</v>
      </c>
      <c r="J45" s="2">
        <v>276.02699999999999</v>
      </c>
      <c r="K45" s="2">
        <v>229.38200000000001</v>
      </c>
      <c r="L45" s="2">
        <v>172.898</v>
      </c>
      <c r="M45" s="2">
        <v>188.1</v>
      </c>
      <c r="N45" s="4">
        <f t="shared" si="0"/>
        <v>2471.4650000000001</v>
      </c>
    </row>
    <row r="46" spans="1:14" ht="16.5" customHeight="1" x14ac:dyDescent="0.2">
      <c r="A46" s="9" t="s">
        <v>43</v>
      </c>
      <c r="B46" s="3">
        <v>20.56</v>
      </c>
      <c r="C46" s="2">
        <v>26.523</v>
      </c>
      <c r="D46" s="2">
        <v>29.193000000000001</v>
      </c>
      <c r="E46" s="2">
        <v>24.116</v>
      </c>
      <c r="F46" s="2">
        <v>25.635999999999999</v>
      </c>
      <c r="G46" s="2">
        <v>13.493</v>
      </c>
      <c r="H46" s="2">
        <v>19.042000000000002</v>
      </c>
      <c r="I46" s="2">
        <v>20.183</v>
      </c>
      <c r="J46" s="2">
        <v>21.053999999999998</v>
      </c>
      <c r="K46" s="2">
        <v>22.327999999999999</v>
      </c>
      <c r="L46" s="2">
        <v>20.649000000000001</v>
      </c>
      <c r="M46" s="2">
        <v>22.37</v>
      </c>
      <c r="N46" s="4">
        <f t="shared" si="0"/>
        <v>265.14699999999999</v>
      </c>
    </row>
    <row r="47" spans="1:14" ht="16.5" customHeight="1" x14ac:dyDescent="0.2">
      <c r="A47" s="9" t="s">
        <v>44</v>
      </c>
      <c r="B47" s="3">
        <v>7.2110000000000003</v>
      </c>
      <c r="C47" s="2">
        <v>8.4380000000000006</v>
      </c>
      <c r="D47" s="2">
        <v>8.49</v>
      </c>
      <c r="E47" s="2">
        <v>7.5010000000000003</v>
      </c>
      <c r="F47" s="2">
        <v>8.9860000000000007</v>
      </c>
      <c r="G47" s="2">
        <v>8.27</v>
      </c>
      <c r="H47" s="2">
        <v>6.5430000000000001</v>
      </c>
      <c r="I47" s="2">
        <v>6.9</v>
      </c>
      <c r="J47" s="2">
        <v>9.0459999999999994</v>
      </c>
      <c r="K47" s="2">
        <v>8.4350000000000005</v>
      </c>
      <c r="L47" s="2">
        <v>7.63</v>
      </c>
      <c r="M47" s="2">
        <v>7.508</v>
      </c>
      <c r="N47" s="4">
        <f t="shared" si="0"/>
        <v>94.957999999999984</v>
      </c>
    </row>
    <row r="48" spans="1:14" ht="16.5" customHeight="1" x14ac:dyDescent="0.2">
      <c r="A48" s="9" t="s">
        <v>45</v>
      </c>
      <c r="B48" s="3">
        <v>307.60199999999998</v>
      </c>
      <c r="C48" s="2">
        <v>289.971</v>
      </c>
      <c r="D48" s="2">
        <v>319.20100000000002</v>
      </c>
      <c r="E48" s="2">
        <v>246</v>
      </c>
      <c r="F48" s="2">
        <v>243.95099999999999</v>
      </c>
      <c r="G48" s="2">
        <v>326.19799999999998</v>
      </c>
      <c r="H48" s="2">
        <v>325.93400000000003</v>
      </c>
      <c r="I48" s="2">
        <v>351</v>
      </c>
      <c r="J48" s="2">
        <v>322.27600000000001</v>
      </c>
      <c r="K48" s="2">
        <v>390</v>
      </c>
      <c r="L48" s="2">
        <v>332</v>
      </c>
      <c r="M48" s="2">
        <v>327.36700000000002</v>
      </c>
      <c r="N48" s="4">
        <f t="shared" si="0"/>
        <v>3781.5</v>
      </c>
    </row>
    <row r="49" spans="1:28" ht="18" customHeight="1" x14ac:dyDescent="0.2">
      <c r="A49" s="10" t="s">
        <v>52</v>
      </c>
      <c r="B49" s="7">
        <v>201.95200000000003</v>
      </c>
      <c r="C49" s="5">
        <v>176.30699999999999</v>
      </c>
      <c r="D49" s="5">
        <v>172.98599999999988</v>
      </c>
      <c r="E49" s="5">
        <v>209.88300000000004</v>
      </c>
      <c r="F49" s="5">
        <v>198.90400000000045</v>
      </c>
      <c r="G49" s="5">
        <v>167.1389999999983</v>
      </c>
      <c r="H49" s="5">
        <v>223.64300000000003</v>
      </c>
      <c r="I49" s="5">
        <v>241.71299999999974</v>
      </c>
      <c r="J49" s="5">
        <v>78.180999999999585</v>
      </c>
      <c r="K49" s="5">
        <v>319.79899999999816</v>
      </c>
      <c r="L49" s="5">
        <v>292.21699999999998</v>
      </c>
      <c r="M49" s="5">
        <v>292.07600000000002</v>
      </c>
      <c r="N49" s="6">
        <f t="shared" si="0"/>
        <v>2574.7999999999961</v>
      </c>
    </row>
    <row r="51" spans="1:28" x14ac:dyDescent="0.2">
      <c r="I51"/>
      <c r="J51"/>
      <c r="K51"/>
    </row>
    <row r="52" spans="1:28" x14ac:dyDescent="0.2">
      <c r="I52"/>
      <c r="J52"/>
      <c r="K52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8"/>
    </row>
    <row r="53" spans="1:28" x14ac:dyDescent="0.2">
      <c r="I53"/>
      <c r="J53"/>
      <c r="K53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8"/>
    </row>
    <row r="54" spans="1:28" x14ac:dyDescent="0.2">
      <c r="I54"/>
      <c r="J54"/>
      <c r="K54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8"/>
    </row>
    <row r="55" spans="1:28" x14ac:dyDescent="0.2">
      <c r="I55"/>
      <c r="J55"/>
      <c r="K55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8"/>
    </row>
    <row r="56" spans="1:28" x14ac:dyDescent="0.2">
      <c r="I56"/>
      <c r="J56"/>
      <c r="K56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8"/>
    </row>
    <row r="57" spans="1:28" x14ac:dyDescent="0.2">
      <c r="I57"/>
      <c r="J57"/>
      <c r="K57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8"/>
    </row>
    <row r="58" spans="1:28" x14ac:dyDescent="0.2">
      <c r="I58"/>
      <c r="J58"/>
      <c r="K58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8"/>
    </row>
    <row r="59" spans="1:28" x14ac:dyDescent="0.2">
      <c r="I59"/>
      <c r="J59"/>
      <c r="K5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8"/>
    </row>
    <row r="60" spans="1:28" x14ac:dyDescent="0.2">
      <c r="I60"/>
      <c r="J60"/>
      <c r="K60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8"/>
    </row>
    <row r="61" spans="1:28" x14ac:dyDescent="0.2">
      <c r="I61"/>
      <c r="J61"/>
      <c r="K61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8"/>
    </row>
    <row r="62" spans="1:28" x14ac:dyDescent="0.2">
      <c r="I62"/>
      <c r="J62"/>
      <c r="K62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8"/>
    </row>
    <row r="63" spans="1:28" x14ac:dyDescent="0.2">
      <c r="I63"/>
      <c r="J63"/>
      <c r="K63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8"/>
    </row>
    <row r="64" spans="1:28" x14ac:dyDescent="0.2">
      <c r="I64"/>
      <c r="J64"/>
      <c r="K64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8"/>
    </row>
    <row r="65" spans="9:28" x14ac:dyDescent="0.2">
      <c r="I65"/>
      <c r="J65"/>
      <c r="K65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8"/>
    </row>
    <row r="66" spans="9:28" x14ac:dyDescent="0.2">
      <c r="I66"/>
      <c r="J66"/>
      <c r="K66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8"/>
    </row>
    <row r="67" spans="9:28" x14ac:dyDescent="0.2">
      <c r="I67"/>
      <c r="J67"/>
      <c r="K67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8"/>
    </row>
    <row r="68" spans="9:28" x14ac:dyDescent="0.2">
      <c r="I68"/>
      <c r="J68"/>
      <c r="K68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8"/>
    </row>
    <row r="69" spans="9:28" x14ac:dyDescent="0.2">
      <c r="I69"/>
      <c r="J69"/>
      <c r="K6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8"/>
    </row>
    <row r="70" spans="9:28" x14ac:dyDescent="0.2">
      <c r="I70"/>
      <c r="J70"/>
      <c r="K70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8"/>
    </row>
    <row r="71" spans="9:28" x14ac:dyDescent="0.2">
      <c r="I71"/>
      <c r="J71"/>
      <c r="K71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8"/>
    </row>
    <row r="72" spans="9:28" x14ac:dyDescent="0.2">
      <c r="I72"/>
      <c r="J72"/>
      <c r="K72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8"/>
    </row>
    <row r="73" spans="9:28" x14ac:dyDescent="0.2">
      <c r="I73"/>
      <c r="J73"/>
      <c r="K73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8"/>
    </row>
    <row r="74" spans="9:28" x14ac:dyDescent="0.2">
      <c r="I74"/>
      <c r="J74"/>
      <c r="K74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8"/>
    </row>
    <row r="75" spans="9:28" x14ac:dyDescent="0.2">
      <c r="I75"/>
      <c r="J75"/>
      <c r="K75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8"/>
    </row>
    <row r="76" spans="9:28" x14ac:dyDescent="0.2">
      <c r="I76"/>
      <c r="J76"/>
      <c r="K76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8"/>
    </row>
    <row r="77" spans="9:28" x14ac:dyDescent="0.2">
      <c r="I77"/>
      <c r="J77"/>
      <c r="K77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8"/>
    </row>
    <row r="78" spans="9:28" x14ac:dyDescent="0.2">
      <c r="I78"/>
      <c r="J78"/>
      <c r="K78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8"/>
    </row>
    <row r="79" spans="9:28" x14ac:dyDescent="0.2">
      <c r="I79"/>
      <c r="J79"/>
      <c r="K7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8"/>
    </row>
    <row r="80" spans="9:28" x14ac:dyDescent="0.2">
      <c r="I80"/>
      <c r="J80"/>
      <c r="K80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8"/>
    </row>
    <row r="81" spans="9:28" x14ac:dyDescent="0.2">
      <c r="I81"/>
      <c r="J81"/>
      <c r="K81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8"/>
    </row>
    <row r="82" spans="9:28" x14ac:dyDescent="0.2">
      <c r="I82"/>
      <c r="J82"/>
      <c r="K82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8"/>
    </row>
    <row r="83" spans="9:28" x14ac:dyDescent="0.2">
      <c r="I83"/>
      <c r="J83"/>
      <c r="K83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8"/>
    </row>
    <row r="84" spans="9:28" x14ac:dyDescent="0.2">
      <c r="I84"/>
      <c r="J84"/>
      <c r="K84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8"/>
    </row>
    <row r="85" spans="9:28" x14ac:dyDescent="0.2">
      <c r="I85"/>
      <c r="J85"/>
      <c r="K85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8"/>
    </row>
    <row r="86" spans="9:28" x14ac:dyDescent="0.2">
      <c r="I86"/>
      <c r="J86"/>
      <c r="K86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8"/>
    </row>
    <row r="87" spans="9:28" x14ac:dyDescent="0.2">
      <c r="I87"/>
      <c r="J87"/>
      <c r="K87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8"/>
    </row>
    <row r="88" spans="9:28" x14ac:dyDescent="0.2">
      <c r="I88"/>
      <c r="J88"/>
      <c r="K88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8"/>
    </row>
    <row r="89" spans="9:28" x14ac:dyDescent="0.2">
      <c r="I89"/>
      <c r="J89"/>
      <c r="K8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8"/>
    </row>
    <row r="90" spans="9:28" x14ac:dyDescent="0.2">
      <c r="I90"/>
      <c r="J90"/>
      <c r="K90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8"/>
    </row>
    <row r="91" spans="9:28" x14ac:dyDescent="0.2">
      <c r="I91"/>
      <c r="J91"/>
      <c r="K91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8"/>
    </row>
    <row r="92" spans="9:28" x14ac:dyDescent="0.2">
      <c r="I92"/>
      <c r="J92"/>
      <c r="K92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8"/>
    </row>
    <row r="93" spans="9:28" x14ac:dyDescent="0.2">
      <c r="I93"/>
      <c r="J93"/>
      <c r="K93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8"/>
    </row>
    <row r="94" spans="9:28" x14ac:dyDescent="0.2">
      <c r="I94"/>
      <c r="J94"/>
      <c r="K94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8"/>
    </row>
    <row r="95" spans="9:28" x14ac:dyDescent="0.2">
      <c r="I95"/>
      <c r="J95"/>
      <c r="K95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8"/>
    </row>
    <row r="96" spans="9:28" x14ac:dyDescent="0.2">
      <c r="I96"/>
      <c r="J96"/>
      <c r="K96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8"/>
    </row>
    <row r="97" spans="9:16" x14ac:dyDescent="0.2">
      <c r="I97"/>
      <c r="J97"/>
      <c r="K97"/>
      <c r="P97" s="38"/>
    </row>
    <row r="98" spans="9:16" x14ac:dyDescent="0.2">
      <c r="I98"/>
      <c r="J98"/>
      <c r="K98"/>
      <c r="P98" s="38"/>
    </row>
    <row r="99" spans="9:16" x14ac:dyDescent="0.2">
      <c r="I99"/>
      <c r="J99"/>
      <c r="K99"/>
      <c r="P99" s="38"/>
    </row>
    <row r="100" spans="9:16" x14ac:dyDescent="0.2">
      <c r="I100"/>
      <c r="J100"/>
      <c r="K100"/>
      <c r="P100" s="38"/>
    </row>
    <row r="101" spans="9:16" x14ac:dyDescent="0.2">
      <c r="I101"/>
      <c r="J101"/>
      <c r="K101"/>
      <c r="P101" s="38"/>
    </row>
    <row r="102" spans="9:16" x14ac:dyDescent="0.2">
      <c r="I102"/>
      <c r="J102"/>
      <c r="K102"/>
      <c r="P102" s="38"/>
    </row>
    <row r="103" spans="9:16" x14ac:dyDescent="0.2">
      <c r="I103"/>
      <c r="J103"/>
      <c r="K103"/>
      <c r="P103" s="38"/>
    </row>
    <row r="104" spans="9:16" x14ac:dyDescent="0.2">
      <c r="I104"/>
      <c r="J104"/>
      <c r="K104"/>
      <c r="P104" s="38"/>
    </row>
    <row r="105" spans="9:16" x14ac:dyDescent="0.2">
      <c r="I105"/>
      <c r="J105"/>
      <c r="K105"/>
      <c r="P105" s="38"/>
    </row>
    <row r="106" spans="9:16" x14ac:dyDescent="0.2">
      <c r="I106"/>
      <c r="J106"/>
      <c r="K106"/>
      <c r="P106" s="38"/>
    </row>
    <row r="107" spans="9:16" x14ac:dyDescent="0.2">
      <c r="I107"/>
      <c r="J107"/>
      <c r="K107"/>
      <c r="P107" s="38"/>
    </row>
    <row r="108" spans="9:16" x14ac:dyDescent="0.2">
      <c r="I108"/>
      <c r="J108"/>
      <c r="K108"/>
      <c r="P108" s="38"/>
    </row>
    <row r="109" spans="9:16" x14ac:dyDescent="0.2">
      <c r="I109"/>
      <c r="J109"/>
      <c r="K109"/>
      <c r="P109" s="38"/>
    </row>
    <row r="110" spans="9:16" x14ac:dyDescent="0.2">
      <c r="I110"/>
      <c r="J110"/>
      <c r="K110"/>
      <c r="P110" s="38"/>
    </row>
    <row r="111" spans="9:16" x14ac:dyDescent="0.2">
      <c r="I111"/>
      <c r="J111"/>
      <c r="K111"/>
      <c r="P111" s="38"/>
    </row>
    <row r="112" spans="9:16" x14ac:dyDescent="0.2">
      <c r="I112"/>
      <c r="J112"/>
      <c r="K112"/>
      <c r="P112" s="38"/>
    </row>
    <row r="113" spans="9:16" x14ac:dyDescent="0.2">
      <c r="I113"/>
      <c r="J113"/>
      <c r="K113"/>
      <c r="P113" s="38"/>
    </row>
    <row r="114" spans="9:16" x14ac:dyDescent="0.2">
      <c r="I114"/>
      <c r="J114"/>
      <c r="K114"/>
      <c r="P114" s="38"/>
    </row>
    <row r="115" spans="9:16" x14ac:dyDescent="0.2">
      <c r="I115"/>
      <c r="J115"/>
      <c r="K115"/>
      <c r="P115" s="38"/>
    </row>
    <row r="116" spans="9:16" x14ac:dyDescent="0.2">
      <c r="I116"/>
      <c r="J116"/>
      <c r="K116"/>
      <c r="P116" s="38"/>
    </row>
    <row r="117" spans="9:16" x14ac:dyDescent="0.2">
      <c r="I117"/>
      <c r="J117"/>
      <c r="K117"/>
      <c r="P117" s="38"/>
    </row>
    <row r="118" spans="9:16" x14ac:dyDescent="0.2">
      <c r="I118"/>
      <c r="J118"/>
      <c r="K118"/>
      <c r="P118" s="38"/>
    </row>
    <row r="119" spans="9:16" x14ac:dyDescent="0.2">
      <c r="I119"/>
      <c r="J119"/>
      <c r="K119"/>
      <c r="P119" s="38"/>
    </row>
    <row r="120" spans="9:16" x14ac:dyDescent="0.2">
      <c r="I120"/>
      <c r="J120"/>
      <c r="K120"/>
      <c r="P120" s="38"/>
    </row>
    <row r="121" spans="9:16" x14ac:dyDescent="0.2">
      <c r="I121"/>
      <c r="J121"/>
      <c r="K121"/>
      <c r="P121" s="38"/>
    </row>
    <row r="122" spans="9:16" x14ac:dyDescent="0.2">
      <c r="I122"/>
      <c r="J122"/>
      <c r="K122"/>
      <c r="P122" s="38"/>
    </row>
    <row r="123" spans="9:16" x14ac:dyDescent="0.2">
      <c r="I123"/>
      <c r="J123"/>
      <c r="K123"/>
    </row>
    <row r="124" spans="9:16" x14ac:dyDescent="0.2">
      <c r="I124"/>
      <c r="J124"/>
      <c r="K124"/>
    </row>
    <row r="125" spans="9:16" x14ac:dyDescent="0.2">
      <c r="I125"/>
      <c r="J125"/>
      <c r="K125"/>
    </row>
    <row r="126" spans="9:16" x14ac:dyDescent="0.2">
      <c r="I126"/>
      <c r="J126"/>
      <c r="K126"/>
    </row>
    <row r="127" spans="9:16" x14ac:dyDescent="0.2">
      <c r="I127"/>
      <c r="J127"/>
      <c r="K127"/>
    </row>
    <row r="128" spans="9:16" x14ac:dyDescent="0.2">
      <c r="I128"/>
      <c r="J128"/>
      <c r="K128"/>
    </row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AC240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42736</v>
      </c>
      <c r="C4" s="13">
        <v>42767</v>
      </c>
      <c r="D4" s="13">
        <v>42795</v>
      </c>
      <c r="E4" s="13">
        <v>42826</v>
      </c>
      <c r="F4" s="13">
        <v>42856</v>
      </c>
      <c r="G4" s="13">
        <v>42887</v>
      </c>
      <c r="H4" s="13">
        <v>42917</v>
      </c>
      <c r="I4" s="14">
        <v>42948</v>
      </c>
      <c r="J4" s="14">
        <v>42979</v>
      </c>
      <c r="K4" s="14">
        <v>43009</v>
      </c>
      <c r="L4" s="13">
        <v>43040</v>
      </c>
      <c r="M4" s="13">
        <v>43070</v>
      </c>
      <c r="N4" s="15" t="s">
        <v>50</v>
      </c>
    </row>
    <row r="5" spans="1:28" s="21" customFormat="1" ht="21" customHeight="1" x14ac:dyDescent="0.2">
      <c r="A5" s="17" t="s">
        <v>0</v>
      </c>
      <c r="B5" s="18">
        <v>9.4740000000000002</v>
      </c>
      <c r="C5" s="19">
        <v>8.484</v>
      </c>
      <c r="D5" s="19">
        <v>9.1189999999999998</v>
      </c>
      <c r="E5" s="19">
        <v>10.032</v>
      </c>
      <c r="F5" s="19">
        <v>11.367000000000001</v>
      </c>
      <c r="G5" s="19">
        <v>10.874000000000001</v>
      </c>
      <c r="H5" s="19">
        <v>10.821999999999999</v>
      </c>
      <c r="I5" s="19">
        <v>10.375</v>
      </c>
      <c r="J5" s="19">
        <v>9.3789999999999996</v>
      </c>
      <c r="K5" s="19">
        <v>9.6950000000000003</v>
      </c>
      <c r="L5" s="19">
        <v>10.319000000000001</v>
      </c>
      <c r="M5" s="19">
        <v>10.164999999999999</v>
      </c>
      <c r="N5" s="20">
        <f>SUM(B5:M5)</f>
        <v>120.10500000000002</v>
      </c>
      <c r="P5" s="34"/>
    </row>
    <row r="6" spans="1:28" s="21" customFormat="1" ht="21" customHeight="1" x14ac:dyDescent="0.2">
      <c r="A6" s="22" t="s">
        <v>1</v>
      </c>
      <c r="B6" s="23">
        <v>5876</v>
      </c>
      <c r="C6" s="24">
        <v>5101</v>
      </c>
      <c r="D6" s="24">
        <v>5364</v>
      </c>
      <c r="E6" s="24">
        <v>5323</v>
      </c>
      <c r="F6" s="24">
        <v>5131</v>
      </c>
      <c r="G6" s="24">
        <v>5105</v>
      </c>
      <c r="H6" s="24">
        <v>6448</v>
      </c>
      <c r="I6" s="24">
        <v>5463</v>
      </c>
      <c r="J6" s="24">
        <v>5866</v>
      </c>
      <c r="K6" s="24">
        <v>5526</v>
      </c>
      <c r="L6" s="24">
        <v>5836</v>
      </c>
      <c r="M6" s="24">
        <v>4919</v>
      </c>
      <c r="N6" s="25">
        <f>SUM(B6:M6)</f>
        <v>65958</v>
      </c>
      <c r="P6" s="34"/>
    </row>
    <row r="7" spans="1:28" s="21" customFormat="1" ht="21" customHeight="1" x14ac:dyDescent="0.2">
      <c r="A7" s="26" t="s">
        <v>2</v>
      </c>
      <c r="B7" s="27">
        <v>-52</v>
      </c>
      <c r="C7" s="28">
        <v>-36</v>
      </c>
      <c r="D7" s="28">
        <v>-148</v>
      </c>
      <c r="E7" s="28">
        <v>69</v>
      </c>
      <c r="F7" s="28">
        <v>77</v>
      </c>
      <c r="G7" s="28">
        <v>-42</v>
      </c>
      <c r="H7" s="28">
        <v>16</v>
      </c>
      <c r="I7" s="28">
        <v>-298</v>
      </c>
      <c r="J7" s="28">
        <v>-84</v>
      </c>
      <c r="K7" s="28">
        <v>-120</v>
      </c>
      <c r="L7" s="28">
        <v>-77</v>
      </c>
      <c r="M7" s="28">
        <v>-38</v>
      </c>
      <c r="N7" s="29">
        <f t="shared" ref="N7:N49" si="0">SUM(B7:M7)</f>
        <v>-733</v>
      </c>
      <c r="P7" s="34"/>
    </row>
    <row r="8" spans="1:28" s="21" customFormat="1" ht="21" customHeight="1" x14ac:dyDescent="0.2">
      <c r="A8" s="26" t="s">
        <v>3</v>
      </c>
      <c r="B8" s="27">
        <v>393</v>
      </c>
      <c r="C8" s="28">
        <v>453</v>
      </c>
      <c r="D8" s="28">
        <v>-49</v>
      </c>
      <c r="E8" s="28">
        <v>-252</v>
      </c>
      <c r="F8" s="28">
        <v>-159</v>
      </c>
      <c r="G8" s="28">
        <v>18</v>
      </c>
      <c r="H8" s="28">
        <v>534</v>
      </c>
      <c r="I8" s="28">
        <v>-597</v>
      </c>
      <c r="J8" s="28">
        <v>82</v>
      </c>
      <c r="K8" s="28">
        <v>19</v>
      </c>
      <c r="L8" s="28">
        <v>509</v>
      </c>
      <c r="M8" s="28">
        <v>-911</v>
      </c>
      <c r="N8" s="29">
        <f t="shared" si="0"/>
        <v>40</v>
      </c>
      <c r="P8" s="34"/>
    </row>
    <row r="9" spans="1:28" s="21" customFormat="1" ht="21" customHeight="1" x14ac:dyDescent="0.2">
      <c r="A9" s="26" t="s">
        <v>4</v>
      </c>
      <c r="B9" s="27">
        <v>-41</v>
      </c>
      <c r="C9" s="28">
        <v>141</v>
      </c>
      <c r="D9" s="28">
        <v>-115</v>
      </c>
      <c r="E9" s="28">
        <v>195</v>
      </c>
      <c r="F9" s="28">
        <v>124</v>
      </c>
      <c r="G9" s="28">
        <v>-244</v>
      </c>
      <c r="H9" s="28">
        <v>92</v>
      </c>
      <c r="I9" s="28">
        <v>-129</v>
      </c>
      <c r="J9" s="28">
        <v>-51</v>
      </c>
      <c r="K9" s="28">
        <v>3</v>
      </c>
      <c r="L9" s="28">
        <v>-51</v>
      </c>
      <c r="M9" s="28">
        <v>-88</v>
      </c>
      <c r="N9" s="29">
        <f t="shared" si="0"/>
        <v>-164</v>
      </c>
      <c r="P9" s="34"/>
    </row>
    <row r="10" spans="1:28" s="21" customFormat="1" ht="21" customHeight="1" x14ac:dyDescent="0.2">
      <c r="A10" s="26" t="s">
        <v>5</v>
      </c>
      <c r="B10" s="27">
        <v>12</v>
      </c>
      <c r="C10" s="28">
        <v>182</v>
      </c>
      <c r="D10" s="28">
        <v>197</v>
      </c>
      <c r="E10" s="28">
        <v>195</v>
      </c>
      <c r="F10" s="28">
        <v>181</v>
      </c>
      <c r="G10" s="28">
        <v>81</v>
      </c>
      <c r="H10" s="28">
        <v>80</v>
      </c>
      <c r="I10" s="28">
        <v>170</v>
      </c>
      <c r="J10" s="28">
        <v>35</v>
      </c>
      <c r="K10" s="28">
        <v>126</v>
      </c>
      <c r="L10" s="28">
        <v>31</v>
      </c>
      <c r="M10" s="28">
        <v>66</v>
      </c>
      <c r="N10" s="29">
        <f t="shared" si="0"/>
        <v>1356</v>
      </c>
      <c r="P10" s="34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</row>
    <row r="12" spans="1:28" s="31" customFormat="1" ht="21" customHeight="1" x14ac:dyDescent="0.2">
      <c r="A12" s="22" t="s">
        <v>7</v>
      </c>
      <c r="B12" s="24">
        <v>5494</v>
      </c>
      <c r="C12" s="24">
        <v>4662</v>
      </c>
      <c r="D12" s="24">
        <v>5586</v>
      </c>
      <c r="E12" s="24">
        <v>5654</v>
      </c>
      <c r="F12" s="24">
        <v>5435</v>
      </c>
      <c r="G12" s="24">
        <v>5381</v>
      </c>
      <c r="H12" s="24">
        <v>5929</v>
      </c>
      <c r="I12" s="24">
        <v>6071</v>
      </c>
      <c r="J12" s="24">
        <v>5795</v>
      </c>
      <c r="K12" s="24">
        <v>5520</v>
      </c>
      <c r="L12" s="24">
        <v>5342</v>
      </c>
      <c r="M12" s="24">
        <v>5956</v>
      </c>
      <c r="N12" s="25">
        <f>SUM(B12:M12)</f>
        <v>66825</v>
      </c>
      <c r="P12" s="34"/>
    </row>
    <row r="13" spans="1:28" s="21" customFormat="1" ht="21" customHeight="1" x14ac:dyDescent="0.2">
      <c r="A13" s="26" t="s">
        <v>12</v>
      </c>
      <c r="B13" s="27">
        <v>5493</v>
      </c>
      <c r="C13" s="28">
        <v>4657</v>
      </c>
      <c r="D13" s="28">
        <v>5422</v>
      </c>
      <c r="E13" s="28">
        <v>5585</v>
      </c>
      <c r="F13" s="28">
        <v>5301</v>
      </c>
      <c r="G13" s="28">
        <v>5098</v>
      </c>
      <c r="H13" s="28">
        <v>5925</v>
      </c>
      <c r="I13" s="28">
        <v>6070</v>
      </c>
      <c r="J13" s="28">
        <v>5793</v>
      </c>
      <c r="K13" s="28">
        <v>5517</v>
      </c>
      <c r="L13" s="28">
        <v>5337</v>
      </c>
      <c r="M13" s="28">
        <v>5840</v>
      </c>
      <c r="N13" s="29">
        <f t="shared" si="0"/>
        <v>66038</v>
      </c>
      <c r="P13" s="34"/>
    </row>
    <row r="14" spans="1:28" s="21" customFormat="1" ht="21" customHeight="1" x14ac:dyDescent="0.2">
      <c r="A14" s="26" t="s">
        <v>8</v>
      </c>
      <c r="B14" s="27">
        <v>104</v>
      </c>
      <c r="C14" s="28">
        <v>89</v>
      </c>
      <c r="D14" s="28">
        <v>41.640999999999622</v>
      </c>
      <c r="E14" s="28">
        <v>44</v>
      </c>
      <c r="F14" s="28">
        <v>36.251000000000204</v>
      </c>
      <c r="G14" s="28">
        <v>92.005999999999403</v>
      </c>
      <c r="H14" s="28">
        <v>94.537000000000262</v>
      </c>
      <c r="I14" s="28">
        <v>116.12500000000091</v>
      </c>
      <c r="J14" s="28">
        <v>92</v>
      </c>
      <c r="K14" s="28">
        <v>100.1969999999983</v>
      </c>
      <c r="L14" s="28">
        <v>88</v>
      </c>
      <c r="M14" s="28">
        <v>30.075999999999112</v>
      </c>
      <c r="N14" s="29">
        <f t="shared" si="0"/>
        <v>927.83299999999781</v>
      </c>
      <c r="P14" s="36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M15" si="1">SUM(B16:B49)</f>
        <v>5390</v>
      </c>
      <c r="C15" s="24">
        <f t="shared" si="1"/>
        <v>4573</v>
      </c>
      <c r="D15" s="24">
        <f t="shared" si="1"/>
        <v>5544.3590000000004</v>
      </c>
      <c r="E15" s="24">
        <f t="shared" si="1"/>
        <v>5610</v>
      </c>
      <c r="F15" s="24">
        <f t="shared" si="1"/>
        <v>5398.7489999999998</v>
      </c>
      <c r="G15" s="24">
        <f t="shared" si="1"/>
        <v>5288.9940000000006</v>
      </c>
      <c r="H15" s="24">
        <f t="shared" si="1"/>
        <v>5834.4629999999997</v>
      </c>
      <c r="I15" s="24">
        <f t="shared" si="1"/>
        <v>5954.8749999999991</v>
      </c>
      <c r="J15" s="24">
        <f t="shared" si="1"/>
        <v>5703</v>
      </c>
      <c r="K15" s="24">
        <f t="shared" si="1"/>
        <v>5419.8030000000017</v>
      </c>
      <c r="L15" s="24">
        <f t="shared" si="1"/>
        <v>5254</v>
      </c>
      <c r="M15" s="24">
        <f t="shared" si="1"/>
        <v>5925.9240000000009</v>
      </c>
      <c r="N15" s="25">
        <f t="shared" si="0"/>
        <v>65897.167000000001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169.56299999999999</v>
      </c>
      <c r="C16" s="2">
        <v>173</v>
      </c>
      <c r="D16" s="2">
        <v>184.482</v>
      </c>
      <c r="E16" s="2">
        <v>196.57</v>
      </c>
      <c r="F16" s="2">
        <v>203.36199999999999</v>
      </c>
      <c r="G16" s="2">
        <v>196.148</v>
      </c>
      <c r="H16" s="2">
        <v>231</v>
      </c>
      <c r="I16" s="2">
        <v>239</v>
      </c>
      <c r="J16" s="2">
        <v>192.34399999999999</v>
      </c>
      <c r="K16" s="2">
        <v>205</v>
      </c>
      <c r="L16" s="2">
        <v>170</v>
      </c>
      <c r="M16" s="2">
        <v>185.83</v>
      </c>
      <c r="N16" s="4">
        <f t="shared" si="0"/>
        <v>2346.299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108.97199999999999</v>
      </c>
      <c r="C18" s="2">
        <v>95.168000000000006</v>
      </c>
      <c r="D18" s="2">
        <v>120.434</v>
      </c>
      <c r="E18" s="2">
        <v>102.57299999999999</v>
      </c>
      <c r="F18" s="2">
        <v>87.575999999999993</v>
      </c>
      <c r="G18" s="2">
        <v>89.978999999999999</v>
      </c>
      <c r="H18" s="2">
        <v>87.489000000000004</v>
      </c>
      <c r="I18" s="2">
        <v>91.986999999999995</v>
      </c>
      <c r="J18" s="2">
        <v>81.08</v>
      </c>
      <c r="K18" s="2">
        <v>85.022999999999996</v>
      </c>
      <c r="L18" s="2">
        <v>100.184</v>
      </c>
      <c r="M18" s="2">
        <v>102.268</v>
      </c>
      <c r="N18" s="4">
        <f t="shared" si="0"/>
        <v>1152.7330000000002</v>
      </c>
    </row>
    <row r="19" spans="1:29" ht="16.5" customHeight="1" x14ac:dyDescent="0.2">
      <c r="A19" s="9" t="s">
        <v>17</v>
      </c>
      <c r="B19" s="3">
        <v>18.028000000000006</v>
      </c>
      <c r="C19" s="2">
        <v>7.8319999999999936</v>
      </c>
      <c r="D19" s="2">
        <v>39.566000000000003</v>
      </c>
      <c r="E19" s="2">
        <v>1.4270000000000067</v>
      </c>
      <c r="F19" s="2">
        <v>2.4240000000000066</v>
      </c>
      <c r="G19" s="2">
        <v>14.021000000000001</v>
      </c>
      <c r="H19" s="2">
        <v>12.510999999999996</v>
      </c>
      <c r="I19" s="2">
        <v>27.013000000000005</v>
      </c>
      <c r="J19" s="2">
        <v>33.92</v>
      </c>
      <c r="K19" s="2">
        <v>27.977000000000004</v>
      </c>
      <c r="L19" s="2">
        <v>20.816000000000003</v>
      </c>
      <c r="M19" s="2">
        <v>42.731999999999999</v>
      </c>
      <c r="N19" s="4">
        <f t="shared" si="0"/>
        <v>248.26700000000002</v>
      </c>
    </row>
    <row r="20" spans="1:29" ht="16.5" customHeight="1" x14ac:dyDescent="0.2">
      <c r="A20" s="9" t="s">
        <v>18</v>
      </c>
      <c r="B20" s="3">
        <v>107</v>
      </c>
      <c r="C20" s="2">
        <v>91</v>
      </c>
      <c r="D20" s="2">
        <v>113</v>
      </c>
      <c r="E20" s="2">
        <v>113</v>
      </c>
      <c r="F20" s="2">
        <v>111</v>
      </c>
      <c r="G20" s="2">
        <v>91</v>
      </c>
      <c r="H20" s="2">
        <v>111</v>
      </c>
      <c r="I20" s="2">
        <v>112</v>
      </c>
      <c r="J20" s="2">
        <v>95</v>
      </c>
      <c r="K20" s="2">
        <v>100</v>
      </c>
      <c r="L20" s="2">
        <v>135</v>
      </c>
      <c r="M20" s="2">
        <v>189</v>
      </c>
      <c r="N20" s="4">
        <f t="shared" si="0"/>
        <v>1368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29" ht="16.5" customHeight="1" x14ac:dyDescent="0.2">
      <c r="A22" s="9" t="s">
        <v>20</v>
      </c>
      <c r="B22" s="3">
        <v>105.45699999999999</v>
      </c>
      <c r="C22" s="2">
        <v>76.543999999999997</v>
      </c>
      <c r="D22" s="2">
        <v>82.683999999999997</v>
      </c>
      <c r="E22" s="2">
        <v>88.902000000000001</v>
      </c>
      <c r="F22" s="2">
        <v>83.977999999999994</v>
      </c>
      <c r="G22" s="2">
        <v>87.866</v>
      </c>
      <c r="H22" s="2">
        <v>88.156999999999996</v>
      </c>
      <c r="I22" s="2">
        <v>98.400999999999996</v>
      </c>
      <c r="J22" s="2">
        <v>99.332999999999998</v>
      </c>
      <c r="K22" s="2">
        <v>20.893999999999998</v>
      </c>
      <c r="L22" s="2">
        <v>0</v>
      </c>
      <c r="M22" s="2">
        <v>46.189</v>
      </c>
      <c r="N22" s="4">
        <f t="shared" si="0"/>
        <v>878.40499999999986</v>
      </c>
    </row>
    <row r="23" spans="1:29" ht="16.5" customHeight="1" x14ac:dyDescent="0.2">
      <c r="A23" s="9" t="s">
        <v>21</v>
      </c>
      <c r="B23" s="3">
        <v>1.3220000000000001</v>
      </c>
      <c r="C23" s="2">
        <v>6.6040000000000001</v>
      </c>
      <c r="D23" s="2">
        <v>10.029999999999999</v>
      </c>
      <c r="E23" s="2">
        <v>6.2889999999999997</v>
      </c>
      <c r="F23" s="2">
        <v>14.32</v>
      </c>
      <c r="G23" s="2">
        <v>7.8739999999999997</v>
      </c>
      <c r="H23" s="2">
        <v>10.994</v>
      </c>
      <c r="I23" s="2">
        <v>3.8690000000000002</v>
      </c>
      <c r="J23" s="2">
        <v>4.9000000000000002E-2</v>
      </c>
      <c r="K23" s="2">
        <v>3.653</v>
      </c>
      <c r="L23" s="2">
        <v>4.9169999999999998</v>
      </c>
      <c r="M23" s="2">
        <v>1.3959999999999999</v>
      </c>
      <c r="N23" s="4">
        <f t="shared" si="0"/>
        <v>71.317000000000007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29" ht="16.5" customHeight="1" x14ac:dyDescent="0.2">
      <c r="A25" s="9" t="s">
        <v>23</v>
      </c>
      <c r="B25" s="3">
        <v>637.24299999999994</v>
      </c>
      <c r="C25" s="2">
        <v>502.38599999999997</v>
      </c>
      <c r="D25" s="2">
        <v>652.85900000000015</v>
      </c>
      <c r="E25" s="2">
        <v>712.28100000000006</v>
      </c>
      <c r="F25" s="2">
        <v>699.79600000000005</v>
      </c>
      <c r="G25" s="2">
        <v>682.72</v>
      </c>
      <c r="H25" s="2">
        <v>670.02099999999996</v>
      </c>
      <c r="I25" s="2">
        <v>722.45800000000008</v>
      </c>
      <c r="J25" s="2">
        <v>755.24399999999991</v>
      </c>
      <c r="K25" s="2">
        <v>689.07199999999989</v>
      </c>
      <c r="L25" s="2">
        <v>686.59699999999998</v>
      </c>
      <c r="M25" s="2">
        <v>740.13499999999999</v>
      </c>
      <c r="N25" s="4">
        <f t="shared" si="0"/>
        <v>8150.8120000000008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29" ht="16.5" customHeight="1" x14ac:dyDescent="0.2">
      <c r="A28" s="9" t="s">
        <v>26</v>
      </c>
      <c r="B28" s="3">
        <v>12.943</v>
      </c>
      <c r="C28" s="2">
        <v>6.04</v>
      </c>
      <c r="D28" s="2">
        <v>18.042999999999999</v>
      </c>
      <c r="E28" s="2">
        <v>17.827000000000002</v>
      </c>
      <c r="F28" s="2">
        <v>19.614999999999998</v>
      </c>
      <c r="G28" s="2">
        <v>24.428999999999998</v>
      </c>
      <c r="H28" s="2">
        <v>23.852</v>
      </c>
      <c r="I28" s="2">
        <v>19.146999999999998</v>
      </c>
      <c r="J28" s="2">
        <v>23.666</v>
      </c>
      <c r="K28" s="2">
        <v>8.9600000000000009</v>
      </c>
      <c r="L28" s="2">
        <v>0</v>
      </c>
      <c r="M28" s="2">
        <v>14.092000000000001</v>
      </c>
      <c r="N28" s="4">
        <f t="shared" si="0"/>
        <v>188.614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</row>
    <row r="30" spans="1:29" ht="16.5" customHeight="1" x14ac:dyDescent="0.2">
      <c r="A30" s="9" t="s">
        <v>28</v>
      </c>
      <c r="B30" s="3">
        <v>736.96199999999999</v>
      </c>
      <c r="C30" s="2">
        <v>608.28399999999999</v>
      </c>
      <c r="D30" s="2">
        <v>784.99</v>
      </c>
      <c r="E30" s="2">
        <v>806.06500000000005</v>
      </c>
      <c r="F30" s="2">
        <v>705.46400000000006</v>
      </c>
      <c r="G30" s="2">
        <v>707.52</v>
      </c>
      <c r="H30" s="2">
        <v>840.13400000000001</v>
      </c>
      <c r="I30" s="2">
        <v>800</v>
      </c>
      <c r="J30" s="2">
        <v>799</v>
      </c>
      <c r="K30" s="2">
        <v>811.38300000000004</v>
      </c>
      <c r="L30" s="2">
        <v>818.53599999999994</v>
      </c>
      <c r="M30" s="2">
        <v>882</v>
      </c>
      <c r="N30" s="4">
        <f t="shared" si="0"/>
        <v>9300.3379999999997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265.71499999999997</v>
      </c>
      <c r="C32" s="2">
        <v>269.60199999999998</v>
      </c>
      <c r="D32" s="2">
        <v>287.43299999999999</v>
      </c>
      <c r="E32" s="2">
        <v>267.36599999999999</v>
      </c>
      <c r="F32" s="2">
        <v>282.79199999999997</v>
      </c>
      <c r="G32" s="2">
        <v>269.78399999999999</v>
      </c>
      <c r="H32" s="2">
        <v>275.39699999999999</v>
      </c>
      <c r="I32" s="2">
        <v>274.93400000000003</v>
      </c>
      <c r="J32" s="2">
        <v>235.79499999999999</v>
      </c>
      <c r="K32" s="2">
        <v>176.505</v>
      </c>
      <c r="L32" s="2">
        <v>116.873</v>
      </c>
      <c r="M32" s="2">
        <v>233.96700000000001</v>
      </c>
      <c r="N32" s="4">
        <f t="shared" si="0"/>
        <v>2956.1630000000005</v>
      </c>
    </row>
    <row r="33" spans="1:14" ht="16.5" customHeight="1" x14ac:dyDescent="0.2">
      <c r="A33" s="9" t="s">
        <v>31</v>
      </c>
      <c r="B33" s="3">
        <v>36.756</v>
      </c>
      <c r="C33" s="2">
        <v>19.677</v>
      </c>
      <c r="D33" s="2">
        <v>23.338000000000001</v>
      </c>
      <c r="E33" s="2">
        <v>31.372</v>
      </c>
      <c r="F33" s="2">
        <v>17.709</v>
      </c>
      <c r="G33" s="2">
        <v>20.635000000000002</v>
      </c>
      <c r="H33" s="2">
        <v>30.863</v>
      </c>
      <c r="I33" s="2">
        <v>21.013000000000002</v>
      </c>
      <c r="J33" s="2">
        <v>52.29</v>
      </c>
      <c r="K33" s="2">
        <v>20.98</v>
      </c>
      <c r="L33" s="2">
        <v>7.1970000000000001</v>
      </c>
      <c r="M33" s="2">
        <v>31.837</v>
      </c>
      <c r="N33" s="4">
        <f t="shared" si="0"/>
        <v>313.66699999999997</v>
      </c>
    </row>
    <row r="34" spans="1:14" ht="16.5" customHeight="1" x14ac:dyDescent="0.2">
      <c r="A34" s="9" t="s">
        <v>32</v>
      </c>
      <c r="B34" s="3">
        <v>31.52</v>
      </c>
      <c r="C34" s="2">
        <v>0</v>
      </c>
      <c r="D34" s="2">
        <v>5.9829999999999997</v>
      </c>
      <c r="E34" s="2">
        <v>26.568000000000001</v>
      </c>
      <c r="F34" s="2">
        <v>0</v>
      </c>
      <c r="G34" s="2">
        <v>10.56</v>
      </c>
      <c r="H34" s="2">
        <v>0</v>
      </c>
      <c r="I34" s="2">
        <v>0</v>
      </c>
      <c r="J34" s="2">
        <v>3.5710000000000002</v>
      </c>
      <c r="K34" s="2">
        <v>7.6180000000000003</v>
      </c>
      <c r="L34" s="2">
        <v>0</v>
      </c>
      <c r="M34" s="2">
        <v>35.991999999999997</v>
      </c>
      <c r="N34" s="4">
        <f t="shared" si="0"/>
        <v>121.81199999999998</v>
      </c>
    </row>
    <row r="35" spans="1:14" ht="16.5" customHeight="1" x14ac:dyDescent="0.2">
      <c r="A35" s="9" t="s">
        <v>33</v>
      </c>
      <c r="B35" s="3">
        <v>17.077999999999999</v>
      </c>
      <c r="C35" s="2">
        <v>40.863999999999997</v>
      </c>
      <c r="D35" s="2">
        <v>47.033999999999999</v>
      </c>
      <c r="E35" s="2">
        <v>22.199000000000002</v>
      </c>
      <c r="F35" s="2">
        <v>50.241999999999997</v>
      </c>
      <c r="G35" s="2">
        <v>30.459</v>
      </c>
      <c r="H35" s="2">
        <v>53.725000000000001</v>
      </c>
      <c r="I35" s="2">
        <v>46.292000000000002</v>
      </c>
      <c r="J35" s="2">
        <v>36.936</v>
      </c>
      <c r="K35" s="2">
        <v>4.9349999999999996</v>
      </c>
      <c r="L35" s="2">
        <v>20.716999999999999</v>
      </c>
      <c r="M35" s="2">
        <v>7.1580000000000004</v>
      </c>
      <c r="N35" s="4">
        <f t="shared" si="0"/>
        <v>377.63900000000001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1932.646</v>
      </c>
      <c r="C37" s="2">
        <v>1638.797</v>
      </c>
      <c r="D37" s="2">
        <v>1978.645</v>
      </c>
      <c r="E37" s="2">
        <v>1981.3119999999999</v>
      </c>
      <c r="F37" s="2">
        <v>1876.7860000000001</v>
      </c>
      <c r="G37" s="2">
        <v>1843.154</v>
      </c>
      <c r="H37" s="2">
        <v>2092.0389999999998</v>
      </c>
      <c r="I37" s="2">
        <v>1999.6949999999999</v>
      </c>
      <c r="J37" s="2">
        <v>1983.3110000000001</v>
      </c>
      <c r="K37" s="2">
        <v>2034.9490000000001</v>
      </c>
      <c r="L37" s="2">
        <v>1900.086</v>
      </c>
      <c r="M37" s="2">
        <v>2094.8759999999997</v>
      </c>
      <c r="N37" s="4">
        <f t="shared" si="0"/>
        <v>23356.296000000002</v>
      </c>
    </row>
    <row r="38" spans="1:14" ht="16.5" customHeight="1" x14ac:dyDescent="0.2">
      <c r="A38" s="9" t="s">
        <v>36</v>
      </c>
      <c r="B38" s="3">
        <v>6.2850000000000001</v>
      </c>
      <c r="C38" s="2">
        <v>3.06</v>
      </c>
      <c r="D38" s="2">
        <v>12.567</v>
      </c>
      <c r="E38" s="2">
        <v>11.183</v>
      </c>
      <c r="F38" s="2">
        <v>8.4710000000000001</v>
      </c>
      <c r="G38" s="2">
        <v>8.4079999999999995</v>
      </c>
      <c r="H38" s="2">
        <v>15.976000000000001</v>
      </c>
      <c r="I38" s="2">
        <v>16.065999999999999</v>
      </c>
      <c r="J38" s="2">
        <v>19.097000000000001</v>
      </c>
      <c r="K38" s="2">
        <v>9.0129999999999999</v>
      </c>
      <c r="L38" s="2">
        <v>18.126999999999999</v>
      </c>
      <c r="M38" s="2">
        <v>18.170000000000002</v>
      </c>
      <c r="N38" s="4">
        <f t="shared" si="0"/>
        <v>146.423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2.1000000000000001E-2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2.1000000000000001E-2</v>
      </c>
    </row>
    <row r="41" spans="1:14" ht="16.5" customHeight="1" x14ac:dyDescent="0.2">
      <c r="A41" s="9" t="s">
        <v>39</v>
      </c>
      <c r="B41" s="3">
        <v>2.9000000000000001E-2</v>
      </c>
      <c r="C41" s="2">
        <v>4.274</v>
      </c>
      <c r="D41" s="2">
        <v>3.1E-2</v>
      </c>
      <c r="E41" s="2">
        <v>2.8000000000000001E-2</v>
      </c>
      <c r="F41" s="2">
        <v>1.867</v>
      </c>
      <c r="G41" s="2">
        <v>5.0179999999999998</v>
      </c>
      <c r="H41" s="2">
        <v>6.899</v>
      </c>
      <c r="I41" s="2">
        <v>7.1790000000000003</v>
      </c>
      <c r="J41" s="2">
        <v>7.8819999999999997</v>
      </c>
      <c r="K41" s="2">
        <v>1.7290000000000001</v>
      </c>
      <c r="L41" s="2">
        <v>0.03</v>
      </c>
      <c r="M41" s="2">
        <v>4.3390000000000004</v>
      </c>
      <c r="N41" s="4">
        <f t="shared" si="0"/>
        <v>39.305</v>
      </c>
    </row>
    <row r="42" spans="1:14" ht="16.5" customHeight="1" x14ac:dyDescent="0.2">
      <c r="A42" s="9" t="s">
        <v>57</v>
      </c>
      <c r="B42" s="3">
        <v>1.7789999999999999</v>
      </c>
      <c r="C42" s="2">
        <v>1E-3</v>
      </c>
      <c r="D42" s="2">
        <v>1.7000000000000001E-2</v>
      </c>
      <c r="E42" s="2">
        <v>0</v>
      </c>
      <c r="F42" s="2">
        <v>8.0000000000000002E-3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1.8049999999999997</v>
      </c>
    </row>
    <row r="43" spans="1:14" ht="16.5" customHeight="1" x14ac:dyDescent="0.2">
      <c r="A43" s="9" t="s">
        <v>40</v>
      </c>
      <c r="B43" s="3">
        <v>463.76100000000002</v>
      </c>
      <c r="C43" s="2">
        <v>408.30200000000002</v>
      </c>
      <c r="D43" s="2">
        <v>495.92500000000001</v>
      </c>
      <c r="E43" s="2">
        <v>500.12200000000001</v>
      </c>
      <c r="F43" s="2">
        <v>443.99599999999998</v>
      </c>
      <c r="G43" s="2">
        <v>456.74200000000002</v>
      </c>
      <c r="H43" s="2">
        <v>482.40600000000001</v>
      </c>
      <c r="I43" s="2">
        <v>484.82100000000003</v>
      </c>
      <c r="J43" s="2">
        <v>474.23700000000002</v>
      </c>
      <c r="K43" s="2">
        <v>346.11200000000002</v>
      </c>
      <c r="L43" s="2">
        <v>421.73599999999999</v>
      </c>
      <c r="M43" s="2">
        <v>513.077</v>
      </c>
      <c r="N43" s="4">
        <f t="shared" si="0"/>
        <v>5491.2370000000001</v>
      </c>
    </row>
    <row r="44" spans="1:14" ht="16.5" customHeight="1" x14ac:dyDescent="0.2">
      <c r="A44" s="9" t="s">
        <v>41</v>
      </c>
      <c r="B44" s="3">
        <v>30.919</v>
      </c>
      <c r="C44" s="2">
        <v>20.977</v>
      </c>
      <c r="D44" s="2">
        <v>35.148000000000003</v>
      </c>
      <c r="E44" s="2">
        <v>33.402999999999999</v>
      </c>
      <c r="F44" s="2">
        <v>34.320999999999998</v>
      </c>
      <c r="G44" s="2">
        <v>32.75</v>
      </c>
      <c r="H44" s="2">
        <v>31.553999999999998</v>
      </c>
      <c r="I44" s="2">
        <v>35.963000000000001</v>
      </c>
      <c r="J44" s="2">
        <v>34.368000000000002</v>
      </c>
      <c r="K44" s="2">
        <v>34.804000000000002</v>
      </c>
      <c r="L44" s="2">
        <v>38.256999999999998</v>
      </c>
      <c r="M44" s="2">
        <v>36.762999999999998</v>
      </c>
      <c r="N44" s="4">
        <f t="shared" si="0"/>
        <v>399.22699999999998</v>
      </c>
    </row>
    <row r="45" spans="1:14" ht="16.5" customHeight="1" x14ac:dyDescent="0.2">
      <c r="A45" s="9" t="s">
        <v>42</v>
      </c>
      <c r="B45" s="3">
        <v>152.43899999999999</v>
      </c>
      <c r="C45" s="2">
        <v>124.024</v>
      </c>
      <c r="D45" s="2">
        <v>207.351</v>
      </c>
      <c r="E45" s="2">
        <v>174.75800000000001</v>
      </c>
      <c r="F45" s="2">
        <v>246.02099999999999</v>
      </c>
      <c r="G45" s="2">
        <v>241.05099999999999</v>
      </c>
      <c r="H45" s="2">
        <v>259.24</v>
      </c>
      <c r="I45" s="2">
        <v>206.446</v>
      </c>
      <c r="J45" s="2">
        <v>262.89</v>
      </c>
      <c r="K45" s="2">
        <v>229.167</v>
      </c>
      <c r="L45" s="2">
        <v>201.03299999999999</v>
      </c>
      <c r="M45" s="2">
        <v>178.154</v>
      </c>
      <c r="N45" s="4">
        <f t="shared" si="0"/>
        <v>2482.5739999999996</v>
      </c>
    </row>
    <row r="46" spans="1:14" ht="16.5" customHeight="1" x14ac:dyDescent="0.2">
      <c r="A46" s="9" t="s">
        <v>43</v>
      </c>
      <c r="B46" s="3">
        <v>19.428999999999998</v>
      </c>
      <c r="C46" s="2">
        <v>20.184999999999999</v>
      </c>
      <c r="D46" s="2">
        <v>22.567</v>
      </c>
      <c r="E46" s="2">
        <v>18.367000000000001</v>
      </c>
      <c r="F46" s="2">
        <v>20.568999999999999</v>
      </c>
      <c r="G46" s="2">
        <v>12.042999999999999</v>
      </c>
      <c r="H46" s="2">
        <v>24.516999999999999</v>
      </c>
      <c r="I46" s="2">
        <v>20.315000000000001</v>
      </c>
      <c r="J46" s="2">
        <v>25.998000000000001</v>
      </c>
      <c r="K46" s="2">
        <v>24.864999999999998</v>
      </c>
      <c r="L46" s="2">
        <v>23.623000000000001</v>
      </c>
      <c r="M46" s="2">
        <v>22.577000000000002</v>
      </c>
      <c r="N46" s="4">
        <f t="shared" si="0"/>
        <v>255.05499999999998</v>
      </c>
    </row>
    <row r="47" spans="1:14" ht="16.5" customHeight="1" x14ac:dyDescent="0.2">
      <c r="A47" s="9" t="s">
        <v>44</v>
      </c>
      <c r="B47" s="3">
        <v>8.7260000000000009</v>
      </c>
      <c r="C47" s="2">
        <v>5.2560000000000002</v>
      </c>
      <c r="D47" s="2">
        <v>7.57</v>
      </c>
      <c r="E47" s="2">
        <v>6.5149999999999997</v>
      </c>
      <c r="F47" s="2">
        <v>7.6710000000000003</v>
      </c>
      <c r="G47" s="2">
        <v>7.2009999999999996</v>
      </c>
      <c r="H47" s="2">
        <v>7.4279999999999999</v>
      </c>
      <c r="I47" s="2">
        <v>7.0439999999999996</v>
      </c>
      <c r="J47" s="2">
        <v>8.2989999999999995</v>
      </c>
      <c r="K47" s="2">
        <v>7.859</v>
      </c>
      <c r="L47" s="2">
        <v>8.0649999999999995</v>
      </c>
      <c r="M47" s="2">
        <v>6.6870000000000003</v>
      </c>
      <c r="N47" s="4">
        <f t="shared" si="0"/>
        <v>88.320999999999984</v>
      </c>
    </row>
    <row r="48" spans="1:14" ht="16.5" customHeight="1" x14ac:dyDescent="0.2">
      <c r="A48" s="9" t="s">
        <v>45</v>
      </c>
      <c r="B48" s="3">
        <v>307.30399999999997</v>
      </c>
      <c r="C48" s="2">
        <v>244.03</v>
      </c>
      <c r="D48" s="2">
        <v>331.298</v>
      </c>
      <c r="E48" s="2">
        <v>330.459</v>
      </c>
      <c r="F48" s="2">
        <v>336.56700000000001</v>
      </c>
      <c r="G48" s="2">
        <v>307.13600000000002</v>
      </c>
      <c r="H48" s="2">
        <v>323</v>
      </c>
      <c r="I48" s="2">
        <v>388</v>
      </c>
      <c r="J48" s="2">
        <v>299.65300000000002</v>
      </c>
      <c r="K48" s="2">
        <v>319</v>
      </c>
      <c r="L48" s="2">
        <v>318</v>
      </c>
      <c r="M48" s="2">
        <v>318.86599999999999</v>
      </c>
      <c r="N48" s="4">
        <f t="shared" si="0"/>
        <v>3823.3130000000001</v>
      </c>
    </row>
    <row r="49" spans="1:14" ht="18" customHeight="1" x14ac:dyDescent="0.2">
      <c r="A49" s="10" t="s">
        <v>52</v>
      </c>
      <c r="B49" s="7">
        <v>218.12399999999889</v>
      </c>
      <c r="C49" s="5">
        <v>207.07199999999921</v>
      </c>
      <c r="D49" s="5">
        <v>83.364000000000033</v>
      </c>
      <c r="E49" s="5">
        <v>161.41399999999885</v>
      </c>
      <c r="F49" s="5">
        <v>144.19399999999996</v>
      </c>
      <c r="G49" s="5">
        <v>142.49600000000004</v>
      </c>
      <c r="H49" s="5">
        <v>156.26100000000002</v>
      </c>
      <c r="I49" s="5">
        <v>333.23200000000003</v>
      </c>
      <c r="J49" s="5">
        <v>179.03700000000026</v>
      </c>
      <c r="K49" s="5">
        <v>250.30500000000001</v>
      </c>
      <c r="L49" s="5">
        <v>244.20600000000104</v>
      </c>
      <c r="M49" s="5">
        <v>219.81899999999999</v>
      </c>
      <c r="N49" s="6">
        <f t="shared" si="0"/>
        <v>2339.5239999999981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I54"/>
      <c r="J54"/>
      <c r="K5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C239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43101</v>
      </c>
      <c r="C4" s="13">
        <v>43132</v>
      </c>
      <c r="D4" s="13">
        <v>43160</v>
      </c>
      <c r="E4" s="13">
        <v>43191</v>
      </c>
      <c r="F4" s="13">
        <v>43221</v>
      </c>
      <c r="G4" s="13">
        <v>43252</v>
      </c>
      <c r="H4" s="13">
        <v>43282</v>
      </c>
      <c r="I4" s="14">
        <v>43313</v>
      </c>
      <c r="J4" s="14">
        <v>43344</v>
      </c>
      <c r="K4" s="14">
        <v>43374</v>
      </c>
      <c r="L4" s="13">
        <v>43405</v>
      </c>
      <c r="M4" s="13">
        <v>43435</v>
      </c>
      <c r="N4" s="15" t="s">
        <v>51</v>
      </c>
    </row>
    <row r="5" spans="1:28" s="21" customFormat="1" ht="21" customHeight="1" x14ac:dyDescent="0.2">
      <c r="A5" s="17" t="s">
        <v>0</v>
      </c>
      <c r="B5" s="18">
        <v>9.6199999999999992</v>
      </c>
      <c r="C5" s="19">
        <v>8.2129999999999992</v>
      </c>
      <c r="D5" s="19">
        <v>7.133</v>
      </c>
      <c r="E5" s="19">
        <v>8.2769999999999992</v>
      </c>
      <c r="F5" s="19">
        <v>7.8049999999999997</v>
      </c>
      <c r="G5" s="19">
        <v>7.5060000000000002</v>
      </c>
      <c r="H5" s="19">
        <v>7.6079999999999997</v>
      </c>
      <c r="I5" s="45">
        <v>6.4829999999999997</v>
      </c>
      <c r="J5" s="19">
        <v>6.8150000000000004</v>
      </c>
      <c r="K5" s="19">
        <v>5.1920000000000002</v>
      </c>
      <c r="L5" s="19">
        <v>6.7889999999999997</v>
      </c>
      <c r="M5" s="19">
        <v>5.55</v>
      </c>
      <c r="N5" s="20">
        <f>SUM(B5:M5)</f>
        <v>86.990999999999985</v>
      </c>
      <c r="P5" s="34"/>
    </row>
    <row r="6" spans="1:28" s="21" customFormat="1" ht="21" customHeight="1" x14ac:dyDescent="0.2">
      <c r="A6" s="22" t="s">
        <v>1</v>
      </c>
      <c r="B6" s="23">
        <v>6511</v>
      </c>
      <c r="C6" s="24">
        <v>5140</v>
      </c>
      <c r="D6" s="24">
        <v>5326</v>
      </c>
      <c r="E6" s="24">
        <v>6047</v>
      </c>
      <c r="F6" s="24">
        <v>5481</v>
      </c>
      <c r="G6" s="24">
        <v>4558</v>
      </c>
      <c r="H6" s="24">
        <v>5945</v>
      </c>
      <c r="I6" s="24">
        <v>5565</v>
      </c>
      <c r="J6" s="24">
        <v>5964</v>
      </c>
      <c r="K6" s="24">
        <v>6059</v>
      </c>
      <c r="L6" s="24">
        <v>5556</v>
      </c>
      <c r="M6" s="24">
        <v>5434</v>
      </c>
      <c r="N6" s="25">
        <f>SUM(B6:M6)</f>
        <v>67586</v>
      </c>
      <c r="P6" s="34"/>
    </row>
    <row r="7" spans="1:28" s="21" customFormat="1" ht="21" customHeight="1" x14ac:dyDescent="0.2">
      <c r="A7" s="26" t="s">
        <v>2</v>
      </c>
      <c r="B7" s="27">
        <v>-21</v>
      </c>
      <c r="C7" s="28">
        <v>-48</v>
      </c>
      <c r="D7" s="28">
        <v>-23</v>
      </c>
      <c r="E7" s="28">
        <v>31</v>
      </c>
      <c r="F7" s="28">
        <v>-29</v>
      </c>
      <c r="G7" s="28">
        <v>-77</v>
      </c>
      <c r="H7" s="28">
        <v>79</v>
      </c>
      <c r="I7" s="28">
        <v>-135</v>
      </c>
      <c r="J7" s="28">
        <v>-165</v>
      </c>
      <c r="K7" s="28">
        <v>106</v>
      </c>
      <c r="L7" s="28">
        <v>11</v>
      </c>
      <c r="M7" s="28">
        <v>-120</v>
      </c>
      <c r="N7" s="29">
        <f t="shared" ref="N7:N49" si="0">SUM(B7:M7)</f>
        <v>-391</v>
      </c>
      <c r="P7" s="34"/>
    </row>
    <row r="8" spans="1:28" s="21" customFormat="1" ht="21" customHeight="1" x14ac:dyDescent="0.2">
      <c r="A8" s="26" t="s">
        <v>3</v>
      </c>
      <c r="B8" s="27">
        <v>508</v>
      </c>
      <c r="C8" s="28">
        <v>239</v>
      </c>
      <c r="D8" s="28">
        <v>-298</v>
      </c>
      <c r="E8" s="28">
        <v>366</v>
      </c>
      <c r="F8" s="28">
        <v>-266</v>
      </c>
      <c r="G8" s="28">
        <v>-427</v>
      </c>
      <c r="H8" s="28">
        <v>422</v>
      </c>
      <c r="I8" s="28">
        <v>-657</v>
      </c>
      <c r="J8" s="28">
        <v>285</v>
      </c>
      <c r="K8" s="28">
        <v>11</v>
      </c>
      <c r="L8" s="28">
        <v>-116</v>
      </c>
      <c r="M8" s="28">
        <v>-287</v>
      </c>
      <c r="N8" s="29">
        <f t="shared" si="0"/>
        <v>-220</v>
      </c>
      <c r="P8" s="34"/>
    </row>
    <row r="9" spans="1:28" s="21" customFormat="1" ht="21" customHeight="1" x14ac:dyDescent="0.2">
      <c r="A9" s="26" t="s">
        <v>4</v>
      </c>
      <c r="B9" s="27">
        <v>121</v>
      </c>
      <c r="C9" s="28">
        <v>79</v>
      </c>
      <c r="D9" s="28">
        <v>21</v>
      </c>
      <c r="E9" s="28">
        <v>167</v>
      </c>
      <c r="F9" s="28">
        <v>-116</v>
      </c>
      <c r="G9" s="28">
        <v>-129</v>
      </c>
      <c r="H9" s="28">
        <v>241</v>
      </c>
      <c r="I9" s="28">
        <v>-106</v>
      </c>
      <c r="J9" s="28">
        <v>-202</v>
      </c>
      <c r="K9" s="28">
        <v>126</v>
      </c>
      <c r="L9" s="28">
        <v>92</v>
      </c>
      <c r="M9" s="28">
        <v>-383</v>
      </c>
      <c r="N9" s="29">
        <f t="shared" si="0"/>
        <v>-89</v>
      </c>
      <c r="P9" s="34"/>
    </row>
    <row r="10" spans="1:28" s="21" customFormat="1" ht="21" customHeight="1" x14ac:dyDescent="0.2">
      <c r="A10" s="26" t="s">
        <v>5</v>
      </c>
      <c r="B10" s="27">
        <v>147</v>
      </c>
      <c r="C10" s="28">
        <v>187</v>
      </c>
      <c r="D10" s="28">
        <v>45</v>
      </c>
      <c r="E10" s="28">
        <v>137</v>
      </c>
      <c r="F10" s="28">
        <v>57</v>
      </c>
      <c r="G10" s="28">
        <v>137</v>
      </c>
      <c r="H10" s="28">
        <v>164</v>
      </c>
      <c r="I10" s="28">
        <v>52</v>
      </c>
      <c r="J10" s="28">
        <v>69</v>
      </c>
      <c r="K10" s="28">
        <v>28</v>
      </c>
      <c r="L10" s="28">
        <v>86</v>
      </c>
      <c r="M10" s="28">
        <v>17</v>
      </c>
      <c r="N10" s="29">
        <f t="shared" si="0"/>
        <v>1126</v>
      </c>
      <c r="P10" s="34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</row>
    <row r="12" spans="1:28" s="31" customFormat="1" ht="21" customHeight="1" x14ac:dyDescent="0.2">
      <c r="A12" s="22" t="s">
        <v>7</v>
      </c>
      <c r="B12" s="24">
        <v>6018</v>
      </c>
      <c r="C12" s="24">
        <v>4969</v>
      </c>
      <c r="D12" s="24">
        <v>5632</v>
      </c>
      <c r="E12" s="24">
        <v>5690</v>
      </c>
      <c r="F12" s="24">
        <v>5899</v>
      </c>
      <c r="G12" s="24">
        <v>5182</v>
      </c>
      <c r="H12" s="24">
        <v>5533</v>
      </c>
      <c r="I12" s="24">
        <v>6251</v>
      </c>
      <c r="J12" s="24">
        <v>5792</v>
      </c>
      <c r="K12" s="24">
        <v>6061</v>
      </c>
      <c r="L12" s="24">
        <v>5684</v>
      </c>
      <c r="M12" s="24">
        <v>6007</v>
      </c>
      <c r="N12" s="25">
        <f>SUM(B12:M12)</f>
        <v>68718</v>
      </c>
      <c r="P12" s="34"/>
    </row>
    <row r="13" spans="1:28" s="21" customFormat="1" ht="21" customHeight="1" x14ac:dyDescent="0.2">
      <c r="A13" s="26" t="s">
        <v>12</v>
      </c>
      <c r="B13" s="27">
        <v>6013</v>
      </c>
      <c r="C13" s="28">
        <v>4909</v>
      </c>
      <c r="D13" s="28">
        <v>5631</v>
      </c>
      <c r="E13" s="28">
        <v>5689</v>
      </c>
      <c r="F13" s="28">
        <v>5755</v>
      </c>
      <c r="G13" s="28">
        <v>4993</v>
      </c>
      <c r="H13" s="28">
        <v>5531</v>
      </c>
      <c r="I13" s="28">
        <v>6228</v>
      </c>
      <c r="J13" s="28">
        <v>5686</v>
      </c>
      <c r="K13" s="28">
        <v>6053</v>
      </c>
      <c r="L13" s="28">
        <v>5679</v>
      </c>
      <c r="M13" s="28">
        <v>5727</v>
      </c>
      <c r="N13" s="29">
        <f t="shared" si="0"/>
        <v>67894</v>
      </c>
      <c r="P13" s="34"/>
    </row>
    <row r="14" spans="1:28" s="21" customFormat="1" ht="21" customHeight="1" x14ac:dyDescent="0.2">
      <c r="A14" s="26" t="s">
        <v>8</v>
      </c>
      <c r="B14" s="27">
        <v>97</v>
      </c>
      <c r="C14" s="28">
        <v>34.307000000000698</v>
      </c>
      <c r="D14" s="28">
        <v>98.436000000000604</v>
      </c>
      <c r="E14" s="28">
        <v>82</v>
      </c>
      <c r="F14" s="28">
        <v>54.049999999998363</v>
      </c>
      <c r="G14" s="28">
        <v>59.563999999998487</v>
      </c>
      <c r="H14" s="28">
        <v>81.559999999999491</v>
      </c>
      <c r="I14" s="46">
        <v>88.983999999999469</v>
      </c>
      <c r="J14" s="28">
        <v>79.668999999999869</v>
      </c>
      <c r="K14" s="28">
        <v>84.894000000000233</v>
      </c>
      <c r="L14" s="28">
        <v>24.893999999999323</v>
      </c>
      <c r="M14" s="28">
        <v>63</v>
      </c>
      <c r="N14" s="29">
        <f t="shared" si="0"/>
        <v>848.35799999999654</v>
      </c>
      <c r="P14" s="36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M15" si="1">SUM(B16:B49)</f>
        <v>5921</v>
      </c>
      <c r="C15" s="24">
        <f t="shared" si="1"/>
        <v>4934.6929999999993</v>
      </c>
      <c r="D15" s="24">
        <f t="shared" si="1"/>
        <v>5533.5639999999994</v>
      </c>
      <c r="E15" s="24">
        <f t="shared" si="1"/>
        <v>5608</v>
      </c>
      <c r="F15" s="24">
        <f t="shared" si="1"/>
        <v>5844.9500000000016</v>
      </c>
      <c r="G15" s="24">
        <f t="shared" si="1"/>
        <v>5122.4360000000015</v>
      </c>
      <c r="H15" s="24">
        <f t="shared" si="1"/>
        <v>5451.4400000000005</v>
      </c>
      <c r="I15" s="24">
        <f t="shared" si="1"/>
        <v>6162.0160000000005</v>
      </c>
      <c r="J15" s="24">
        <f t="shared" si="1"/>
        <v>5712.3310000000001</v>
      </c>
      <c r="K15" s="24">
        <f t="shared" si="1"/>
        <v>5976.1059999999998</v>
      </c>
      <c r="L15" s="24">
        <f t="shared" si="1"/>
        <v>5659.1060000000007</v>
      </c>
      <c r="M15" s="24">
        <f t="shared" si="1"/>
        <v>5944</v>
      </c>
      <c r="N15" s="25">
        <f t="shared" si="0"/>
        <v>67869.641999999993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197</v>
      </c>
      <c r="C16" s="2">
        <v>139</v>
      </c>
      <c r="D16" s="2">
        <v>202</v>
      </c>
      <c r="E16" s="2">
        <v>183</v>
      </c>
      <c r="F16" s="2">
        <v>200</v>
      </c>
      <c r="G16" s="2">
        <v>179.81399999999999</v>
      </c>
      <c r="H16" s="2">
        <v>183</v>
      </c>
      <c r="I16" s="2">
        <v>194.93700000000001</v>
      </c>
      <c r="J16" s="2">
        <v>193.2</v>
      </c>
      <c r="K16" s="2">
        <v>190</v>
      </c>
      <c r="L16" s="2">
        <v>181</v>
      </c>
      <c r="M16" s="2">
        <v>193.42699999999999</v>
      </c>
      <c r="N16" s="4">
        <f t="shared" si="0"/>
        <v>2236.3780000000002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101.595</v>
      </c>
      <c r="C18" s="2">
        <v>94.997</v>
      </c>
      <c r="D18" s="2">
        <v>95.138999999999996</v>
      </c>
      <c r="E18" s="2">
        <v>91.504999999999995</v>
      </c>
      <c r="F18" s="2">
        <v>102.55800000000001</v>
      </c>
      <c r="G18" s="2">
        <v>96.64</v>
      </c>
      <c r="H18" s="2">
        <v>80.025999999999996</v>
      </c>
      <c r="I18" s="2">
        <v>94.963999999999999</v>
      </c>
      <c r="J18" s="2">
        <v>81.162999999999997</v>
      </c>
      <c r="K18" s="2">
        <v>96.426000000000002</v>
      </c>
      <c r="L18" s="2">
        <v>82.614999999999995</v>
      </c>
      <c r="M18" s="2">
        <v>85.506</v>
      </c>
      <c r="N18" s="4">
        <f t="shared" si="0"/>
        <v>1103.134</v>
      </c>
    </row>
    <row r="19" spans="1:29" ht="16.5" customHeight="1" x14ac:dyDescent="0.2">
      <c r="A19" s="9" t="s">
        <v>17</v>
      </c>
      <c r="B19" s="3">
        <v>40.152000000000001</v>
      </c>
      <c r="C19" s="2">
        <v>28.003</v>
      </c>
      <c r="D19" s="2">
        <v>12.861000000000004</v>
      </c>
      <c r="E19" s="2">
        <v>20.495000000000005</v>
      </c>
      <c r="F19" s="2">
        <v>11.441999999999993</v>
      </c>
      <c r="G19" s="2">
        <v>21.36</v>
      </c>
      <c r="H19" s="2">
        <v>4.9740000000000038</v>
      </c>
      <c r="I19" s="2">
        <v>5.0360000000000014</v>
      </c>
      <c r="J19" s="2">
        <v>0</v>
      </c>
      <c r="K19" s="2">
        <v>24.573999999999998</v>
      </c>
      <c r="L19" s="2">
        <v>23.385000000000005</v>
      </c>
      <c r="M19" s="2">
        <v>15.494</v>
      </c>
      <c r="N19" s="4">
        <f t="shared" si="0"/>
        <v>207.77599999999998</v>
      </c>
    </row>
    <row r="20" spans="1:29" ht="16.5" customHeight="1" x14ac:dyDescent="0.2">
      <c r="A20" s="9" t="s">
        <v>18</v>
      </c>
      <c r="B20" s="3">
        <v>171</v>
      </c>
      <c r="C20" s="2">
        <v>140</v>
      </c>
      <c r="D20" s="2">
        <v>153</v>
      </c>
      <c r="E20" s="2">
        <v>156</v>
      </c>
      <c r="F20" s="2">
        <v>162</v>
      </c>
      <c r="G20" s="2">
        <v>154</v>
      </c>
      <c r="H20" s="2">
        <v>139</v>
      </c>
      <c r="I20" s="2">
        <v>159</v>
      </c>
      <c r="J20" s="2">
        <v>125</v>
      </c>
      <c r="K20" s="2">
        <v>144</v>
      </c>
      <c r="L20" s="2">
        <v>133</v>
      </c>
      <c r="M20" s="2">
        <v>120</v>
      </c>
      <c r="N20" s="4">
        <f t="shared" si="0"/>
        <v>1756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29" ht="16.5" customHeight="1" x14ac:dyDescent="0.2">
      <c r="A22" s="9" t="s">
        <v>20</v>
      </c>
      <c r="B22" s="3">
        <v>109.60299999999999</v>
      </c>
      <c r="C22" s="2">
        <v>97.688999999999993</v>
      </c>
      <c r="D22" s="2">
        <v>112.501</v>
      </c>
      <c r="E22" s="2">
        <v>91.891999999999996</v>
      </c>
      <c r="F22" s="2">
        <v>99.36</v>
      </c>
      <c r="G22" s="2">
        <v>84.24</v>
      </c>
      <c r="H22" s="2">
        <v>106.062</v>
      </c>
      <c r="I22" s="2">
        <v>107.89</v>
      </c>
      <c r="J22" s="2">
        <v>97.570999999999998</v>
      </c>
      <c r="K22" s="2">
        <v>97.844999999999999</v>
      </c>
      <c r="L22" s="2">
        <v>91.183999999999997</v>
      </c>
      <c r="M22" s="2">
        <v>99.268000000000001</v>
      </c>
      <c r="N22" s="4">
        <f t="shared" si="0"/>
        <v>1195.105</v>
      </c>
    </row>
    <row r="23" spans="1:29" ht="16.5" customHeight="1" x14ac:dyDescent="0.2">
      <c r="A23" s="9" t="s">
        <v>21</v>
      </c>
      <c r="B23" s="3">
        <v>1.264</v>
      </c>
      <c r="C23" s="2">
        <v>4.2229999999999999</v>
      </c>
      <c r="D23" s="2">
        <v>6.2249999999999996</v>
      </c>
      <c r="E23" s="2">
        <v>11.957000000000001</v>
      </c>
      <c r="F23" s="2">
        <v>10.138</v>
      </c>
      <c r="G23" s="2">
        <v>9.2370000000000001</v>
      </c>
      <c r="H23" s="2">
        <v>4.9630000000000001</v>
      </c>
      <c r="I23" s="2">
        <v>0</v>
      </c>
      <c r="J23" s="2">
        <v>7.18</v>
      </c>
      <c r="K23" s="2">
        <v>4.1829999999999998</v>
      </c>
      <c r="L23" s="2">
        <v>7.1999999999999995E-2</v>
      </c>
      <c r="M23" s="2">
        <v>2.3079999999999998</v>
      </c>
      <c r="N23" s="4">
        <f t="shared" si="0"/>
        <v>61.750000000000007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29" ht="16.5" customHeight="1" x14ac:dyDescent="0.2">
      <c r="A25" s="9" t="s">
        <v>23</v>
      </c>
      <c r="B25" s="3">
        <v>727.93400000000008</v>
      </c>
      <c r="C25" s="2">
        <v>571.01700000000005</v>
      </c>
      <c r="D25" s="2">
        <v>578.86699999999996</v>
      </c>
      <c r="E25" s="2">
        <v>568.57300000000009</v>
      </c>
      <c r="F25" s="2">
        <v>664.34899999999993</v>
      </c>
      <c r="G25" s="2">
        <v>645.76099999999997</v>
      </c>
      <c r="H25" s="2">
        <v>608.41500000000008</v>
      </c>
      <c r="I25" s="2">
        <v>744.43200000000002</v>
      </c>
      <c r="J25" s="2">
        <v>744.09400000000005</v>
      </c>
      <c r="K25" s="2">
        <v>722.1</v>
      </c>
      <c r="L25" s="2">
        <v>656.85399999999993</v>
      </c>
      <c r="M25" s="2">
        <v>721.76099999999997</v>
      </c>
      <c r="N25" s="4">
        <f t="shared" si="0"/>
        <v>7954.1570000000011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29" ht="16.5" customHeight="1" x14ac:dyDescent="0.2">
      <c r="A28" s="9" t="s">
        <v>26</v>
      </c>
      <c r="B28" s="3">
        <v>39.573</v>
      </c>
      <c r="C28" s="2">
        <v>21.416</v>
      </c>
      <c r="D28" s="2">
        <v>23.846</v>
      </c>
      <c r="E28" s="2">
        <v>23.497</v>
      </c>
      <c r="F28" s="2">
        <v>40.076999999999998</v>
      </c>
      <c r="G28" s="2">
        <v>39.942999999999998</v>
      </c>
      <c r="H28" s="2">
        <v>34</v>
      </c>
      <c r="I28" s="2">
        <v>36.756999999999998</v>
      </c>
      <c r="J28" s="2">
        <v>31.425999999999998</v>
      </c>
      <c r="K28" s="2">
        <v>30.177</v>
      </c>
      <c r="L28" s="2">
        <v>22.786999999999999</v>
      </c>
      <c r="M28" s="2">
        <v>37.356000000000002</v>
      </c>
      <c r="N28" s="4">
        <f t="shared" si="0"/>
        <v>380.85499999999996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</row>
    <row r="30" spans="1:29" ht="16.5" customHeight="1" x14ac:dyDescent="0.2">
      <c r="A30" s="9" t="s">
        <v>28</v>
      </c>
      <c r="B30" s="3">
        <v>879</v>
      </c>
      <c r="C30" s="2">
        <v>741</v>
      </c>
      <c r="D30" s="2">
        <v>850.84199999999998</v>
      </c>
      <c r="E30" s="2">
        <v>854</v>
      </c>
      <c r="F30" s="2">
        <v>864.26</v>
      </c>
      <c r="G30" s="2">
        <v>684.49199999999996</v>
      </c>
      <c r="H30" s="2">
        <v>804</v>
      </c>
      <c r="I30" s="2">
        <v>906</v>
      </c>
      <c r="J30" s="2">
        <v>855.55399999999997</v>
      </c>
      <c r="K30" s="2">
        <v>859.08600000000001</v>
      </c>
      <c r="L30" s="2">
        <v>854.49900000000002</v>
      </c>
      <c r="M30" s="2">
        <v>886</v>
      </c>
      <c r="N30" s="4">
        <f t="shared" si="0"/>
        <v>10038.733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157.184</v>
      </c>
      <c r="C32" s="2">
        <v>251.49</v>
      </c>
      <c r="D32" s="2">
        <v>287.37</v>
      </c>
      <c r="E32" s="2">
        <v>283.858</v>
      </c>
      <c r="F32" s="2">
        <v>283.16000000000003</v>
      </c>
      <c r="G32" s="2">
        <v>285.10899999999998</v>
      </c>
      <c r="H32" s="2">
        <v>181.20599999999999</v>
      </c>
      <c r="I32" s="2">
        <v>300.83</v>
      </c>
      <c r="J32" s="2">
        <v>279.84500000000003</v>
      </c>
      <c r="K32" s="2">
        <v>275.35599999999999</v>
      </c>
      <c r="L32" s="2">
        <v>290.07900000000001</v>
      </c>
      <c r="M32" s="2">
        <v>291.25599999999997</v>
      </c>
      <c r="N32" s="4">
        <f t="shared" si="0"/>
        <v>3166.7429999999995</v>
      </c>
    </row>
    <row r="33" spans="1:14" ht="16.5" customHeight="1" x14ac:dyDescent="0.2">
      <c r="A33" s="9" t="s">
        <v>31</v>
      </c>
      <c r="B33" s="3">
        <v>26.452999999999999</v>
      </c>
      <c r="C33" s="2">
        <v>26.934999999999999</v>
      </c>
      <c r="D33" s="2">
        <v>24.789000000000001</v>
      </c>
      <c r="E33" s="2">
        <v>32.744</v>
      </c>
      <c r="F33" s="2">
        <v>20.951000000000001</v>
      </c>
      <c r="G33" s="2">
        <v>19.071999999999999</v>
      </c>
      <c r="H33" s="2">
        <v>29.312000000000001</v>
      </c>
      <c r="I33" s="2">
        <v>17.161000000000001</v>
      </c>
      <c r="J33" s="2">
        <v>40.906999999999996</v>
      </c>
      <c r="K33" s="2">
        <v>41.006999999999998</v>
      </c>
      <c r="L33" s="2">
        <v>19.484999999999999</v>
      </c>
      <c r="M33" s="2">
        <v>33.752000000000002</v>
      </c>
      <c r="N33" s="4">
        <f t="shared" si="0"/>
        <v>332.56800000000004</v>
      </c>
    </row>
    <row r="34" spans="1:14" ht="16.5" customHeight="1" x14ac:dyDescent="0.2">
      <c r="A34" s="9" t="s">
        <v>32</v>
      </c>
      <c r="B34" s="3">
        <v>0</v>
      </c>
      <c r="C34" s="2">
        <v>6.9770000000000003</v>
      </c>
      <c r="D34" s="2">
        <v>7.8739999999999997</v>
      </c>
      <c r="E34" s="2">
        <v>2.87</v>
      </c>
      <c r="F34" s="2">
        <v>4.1840000000000002</v>
      </c>
      <c r="G34" s="2">
        <v>1.2729999999999999</v>
      </c>
      <c r="H34" s="2">
        <v>0.878</v>
      </c>
      <c r="I34" s="2">
        <v>0.88500000000000001</v>
      </c>
      <c r="J34" s="2">
        <v>4.3470000000000004</v>
      </c>
      <c r="K34" s="2">
        <v>6.6429999999999998</v>
      </c>
      <c r="L34" s="2">
        <v>6.2640000000000002</v>
      </c>
      <c r="M34" s="2">
        <v>10.909000000000001</v>
      </c>
      <c r="N34" s="4">
        <f t="shared" si="0"/>
        <v>53.104000000000006</v>
      </c>
    </row>
    <row r="35" spans="1:14" ht="16.5" customHeight="1" x14ac:dyDescent="0.2">
      <c r="A35" s="9" t="s">
        <v>33</v>
      </c>
      <c r="B35" s="3">
        <v>99.085999999999999</v>
      </c>
      <c r="C35" s="2">
        <v>54.51</v>
      </c>
      <c r="D35" s="2">
        <v>66.537999999999997</v>
      </c>
      <c r="E35" s="2">
        <v>63.576000000000001</v>
      </c>
      <c r="F35" s="2">
        <v>63.747999999999998</v>
      </c>
      <c r="G35" s="2">
        <v>62.832000000000001</v>
      </c>
      <c r="H35" s="2">
        <v>62.21</v>
      </c>
      <c r="I35" s="2">
        <v>61.551000000000002</v>
      </c>
      <c r="J35" s="2">
        <v>62.167000000000002</v>
      </c>
      <c r="K35" s="2">
        <v>60.206000000000003</v>
      </c>
      <c r="L35" s="2">
        <v>61.594000000000001</v>
      </c>
      <c r="M35" s="2">
        <v>64.838999999999999</v>
      </c>
      <c r="N35" s="4">
        <f t="shared" si="0"/>
        <v>782.8570000000002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2033.461</v>
      </c>
      <c r="C37" s="2">
        <v>1647.94</v>
      </c>
      <c r="D37" s="2">
        <v>1721.96</v>
      </c>
      <c r="E37" s="2">
        <v>1888.81</v>
      </c>
      <c r="F37" s="2">
        <v>1974.9759999999999</v>
      </c>
      <c r="G37" s="2">
        <v>1662.596</v>
      </c>
      <c r="H37" s="2">
        <v>1887.6</v>
      </c>
      <c r="I37" s="2">
        <v>2102.2110000000002</v>
      </c>
      <c r="J37" s="2">
        <v>1989.3150000000001</v>
      </c>
      <c r="K37" s="2">
        <v>2073.183</v>
      </c>
      <c r="L37" s="2">
        <v>1911.6569999999999</v>
      </c>
      <c r="M37" s="2">
        <v>1933.7950000000001</v>
      </c>
      <c r="N37" s="4">
        <f t="shared" si="0"/>
        <v>22827.504000000001</v>
      </c>
    </row>
    <row r="38" spans="1:14" ht="16.5" customHeight="1" x14ac:dyDescent="0.2">
      <c r="A38" s="9" t="s">
        <v>36</v>
      </c>
      <c r="B38" s="3">
        <v>11.816000000000001</v>
      </c>
      <c r="C38" s="2">
        <v>19.148</v>
      </c>
      <c r="D38" s="2">
        <v>11.468999999999999</v>
      </c>
      <c r="E38" s="2">
        <v>28.141999999999999</v>
      </c>
      <c r="F38" s="2">
        <v>15.981</v>
      </c>
      <c r="G38" s="2">
        <v>29.117999999999999</v>
      </c>
      <c r="H38" s="2">
        <v>26.794</v>
      </c>
      <c r="I38" s="2">
        <v>29.361999999999998</v>
      </c>
      <c r="J38" s="2">
        <v>29.419</v>
      </c>
      <c r="K38" s="2">
        <v>28.605</v>
      </c>
      <c r="L38" s="2">
        <v>13.920999999999999</v>
      </c>
      <c r="M38" s="2">
        <v>29.449000000000002</v>
      </c>
      <c r="N38" s="4">
        <f t="shared" si="0"/>
        <v>273.22399999999999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1.9E-2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1.9E-2</v>
      </c>
    </row>
    <row r="41" spans="1:14" ht="16.5" customHeight="1" x14ac:dyDescent="0.2">
      <c r="A41" s="9" t="s">
        <v>39</v>
      </c>
      <c r="B41" s="3">
        <v>24.469000000000001</v>
      </c>
      <c r="C41" s="2">
        <v>3.3809999999999998</v>
      </c>
      <c r="D41" s="2">
        <v>3.44</v>
      </c>
      <c r="E41" s="2">
        <v>11.945</v>
      </c>
      <c r="F41" s="2">
        <v>12.087</v>
      </c>
      <c r="G41" s="2">
        <v>9.4629999999999992</v>
      </c>
      <c r="H41" s="2">
        <v>2.3919999999999999</v>
      </c>
      <c r="I41" s="2">
        <v>3.1E-2</v>
      </c>
      <c r="J41" s="2">
        <v>3.234</v>
      </c>
      <c r="K41" s="2">
        <v>3.1E-2</v>
      </c>
      <c r="L41" s="2">
        <v>0.03</v>
      </c>
      <c r="M41" s="2">
        <v>0.16200000000000001</v>
      </c>
      <c r="N41" s="4">
        <f t="shared" si="0"/>
        <v>70.665000000000006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476.06</v>
      </c>
      <c r="C43" s="2">
        <v>459.34</v>
      </c>
      <c r="D43" s="2">
        <v>436.84300000000002</v>
      </c>
      <c r="E43" s="2">
        <v>498.767</v>
      </c>
      <c r="F43" s="2">
        <v>507.024</v>
      </c>
      <c r="G43" s="2">
        <v>394.11599999999999</v>
      </c>
      <c r="H43" s="2">
        <v>481.608</v>
      </c>
      <c r="I43" s="2">
        <v>514.96900000000005</v>
      </c>
      <c r="J43" s="2">
        <v>426.19099999999997</v>
      </c>
      <c r="K43" s="2">
        <v>583.55200000000002</v>
      </c>
      <c r="L43" s="2">
        <v>551.67999999999995</v>
      </c>
      <c r="M43" s="2">
        <v>599.58299999999997</v>
      </c>
      <c r="N43" s="4">
        <f t="shared" si="0"/>
        <v>5929.7330000000002</v>
      </c>
    </row>
    <row r="44" spans="1:14" ht="16.5" customHeight="1" x14ac:dyDescent="0.2">
      <c r="A44" s="9" t="s">
        <v>41</v>
      </c>
      <c r="B44" s="3">
        <v>32.963999999999999</v>
      </c>
      <c r="C44" s="2">
        <v>28.524999999999999</v>
      </c>
      <c r="D44" s="2">
        <v>28.962</v>
      </c>
      <c r="E44" s="2">
        <v>37.32</v>
      </c>
      <c r="F44" s="2">
        <v>39.415999999999997</v>
      </c>
      <c r="G44" s="2">
        <v>35.072000000000003</v>
      </c>
      <c r="H44" s="2">
        <v>36.997</v>
      </c>
      <c r="I44" s="2">
        <v>36.83</v>
      </c>
      <c r="J44" s="2">
        <v>34.32</v>
      </c>
      <c r="K44" s="2">
        <v>32.85</v>
      </c>
      <c r="L44" s="2">
        <v>35.844999999999999</v>
      </c>
      <c r="M44" s="2">
        <v>35.472999999999999</v>
      </c>
      <c r="N44" s="4">
        <f t="shared" si="0"/>
        <v>414.57400000000001</v>
      </c>
    </row>
    <row r="45" spans="1:14" ht="16.5" customHeight="1" x14ac:dyDescent="0.2">
      <c r="A45" s="9" t="s">
        <v>42</v>
      </c>
      <c r="B45" s="3">
        <v>153.73400000000001</v>
      </c>
      <c r="C45" s="2">
        <v>122.86799999999999</v>
      </c>
      <c r="D45" s="2">
        <v>229.441</v>
      </c>
      <c r="E45" s="2">
        <v>181.858</v>
      </c>
      <c r="F45" s="2">
        <v>257.20600000000002</v>
      </c>
      <c r="G45" s="2">
        <v>242.60400000000001</v>
      </c>
      <c r="H45" s="2">
        <v>282.28500000000003</v>
      </c>
      <c r="I45" s="2">
        <v>231.04400000000001</v>
      </c>
      <c r="J45" s="2">
        <v>262.42599999999999</v>
      </c>
      <c r="K45" s="2">
        <v>224.97</v>
      </c>
      <c r="L45" s="2">
        <v>206.71899999999999</v>
      </c>
      <c r="M45" s="2">
        <v>234.428</v>
      </c>
      <c r="N45" s="4">
        <f t="shared" si="0"/>
        <v>2629.5830000000001</v>
      </c>
    </row>
    <row r="46" spans="1:14" ht="16.5" customHeight="1" x14ac:dyDescent="0.2">
      <c r="A46" s="9" t="s">
        <v>43</v>
      </c>
      <c r="B46" s="3">
        <v>24.884</v>
      </c>
      <c r="C46" s="2">
        <v>17.619</v>
      </c>
      <c r="D46" s="2">
        <v>17.356999999999999</v>
      </c>
      <c r="E46" s="2">
        <v>18.175999999999998</v>
      </c>
      <c r="F46" s="2">
        <v>18.876999999999999</v>
      </c>
      <c r="G46" s="2">
        <v>20.353999999999999</v>
      </c>
      <c r="H46" s="2">
        <v>19.257999999999999</v>
      </c>
      <c r="I46" s="2">
        <v>17.483000000000001</v>
      </c>
      <c r="J46" s="2">
        <v>25.640999999999998</v>
      </c>
      <c r="K46" s="2">
        <v>22.835999999999999</v>
      </c>
      <c r="L46" s="2">
        <v>19.279</v>
      </c>
      <c r="M46" s="2">
        <v>21.399000000000001</v>
      </c>
      <c r="N46" s="4">
        <f t="shared" si="0"/>
        <v>243.16300000000001</v>
      </c>
    </row>
    <row r="47" spans="1:14" ht="16.5" customHeight="1" x14ac:dyDescent="0.2">
      <c r="A47" s="9" t="s">
        <v>44</v>
      </c>
      <c r="B47" s="3">
        <v>8.4440000000000008</v>
      </c>
      <c r="C47" s="2">
        <v>6.2169999999999996</v>
      </c>
      <c r="D47" s="2">
        <v>7.2910000000000004</v>
      </c>
      <c r="E47" s="2">
        <v>7.3639999999999999</v>
      </c>
      <c r="F47" s="2">
        <v>8.4060000000000006</v>
      </c>
      <c r="G47" s="2">
        <v>7.4729999999999999</v>
      </c>
      <c r="H47" s="2">
        <v>7.782</v>
      </c>
      <c r="I47" s="2">
        <v>7.5090000000000003</v>
      </c>
      <c r="J47" s="2">
        <v>7.4370000000000003</v>
      </c>
      <c r="K47" s="2">
        <v>8.0359999999999996</v>
      </c>
      <c r="L47" s="2">
        <v>7.11</v>
      </c>
      <c r="M47" s="2">
        <v>6.6970000000000001</v>
      </c>
      <c r="N47" s="4">
        <f t="shared" si="0"/>
        <v>89.766000000000005</v>
      </c>
    </row>
    <row r="48" spans="1:14" ht="16.5" customHeight="1" x14ac:dyDescent="0.2">
      <c r="A48" s="9" t="s">
        <v>45</v>
      </c>
      <c r="B48" s="3">
        <v>333</v>
      </c>
      <c r="C48" s="2">
        <v>274.608</v>
      </c>
      <c r="D48" s="2">
        <v>357</v>
      </c>
      <c r="E48" s="2">
        <v>306</v>
      </c>
      <c r="F48" s="2">
        <v>310.65499999999997</v>
      </c>
      <c r="G48" s="2">
        <v>298.02100000000002</v>
      </c>
      <c r="H48" s="2">
        <v>312</v>
      </c>
      <c r="I48" s="2">
        <v>360</v>
      </c>
      <c r="J48" s="2">
        <v>315.71800000000002</v>
      </c>
      <c r="K48" s="2">
        <v>302.13200000000001</v>
      </c>
      <c r="L48" s="2">
        <v>309</v>
      </c>
      <c r="M48" s="2">
        <v>324.01299999999998</v>
      </c>
      <c r="N48" s="4">
        <f t="shared" si="0"/>
        <v>3802.1469999999995</v>
      </c>
    </row>
    <row r="49" spans="1:14" ht="18" customHeight="1" x14ac:dyDescent="0.2">
      <c r="A49" s="10" t="s">
        <v>52</v>
      </c>
      <c r="B49" s="7">
        <v>272.3239999999987</v>
      </c>
      <c r="C49" s="5">
        <v>177.77099999999999</v>
      </c>
      <c r="D49" s="5">
        <v>297.94900000000001</v>
      </c>
      <c r="E49" s="5">
        <v>245.65100000000075</v>
      </c>
      <c r="F49" s="5">
        <v>174.09499999999997</v>
      </c>
      <c r="G49" s="5">
        <v>139.846</v>
      </c>
      <c r="H49" s="5">
        <v>156.678</v>
      </c>
      <c r="I49" s="5">
        <v>233.13399999999996</v>
      </c>
      <c r="J49" s="5">
        <v>96.175999999999988</v>
      </c>
      <c r="K49" s="5">
        <v>148.30799999999999</v>
      </c>
      <c r="L49" s="5">
        <v>181.04699999999997</v>
      </c>
      <c r="M49" s="5">
        <v>197.125</v>
      </c>
      <c r="N49" s="6">
        <f t="shared" si="0"/>
        <v>2320.1039999999994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I54"/>
      <c r="J54"/>
      <c r="K5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spans="2:11" x14ac:dyDescent="0.2">
      <c r="I225"/>
      <c r="J225"/>
      <c r="K225"/>
    </row>
    <row r="226" spans="2:11" x14ac:dyDescent="0.2">
      <c r="I226"/>
      <c r="J226"/>
      <c r="K226"/>
    </row>
    <row r="227" spans="2:11" x14ac:dyDescent="0.2">
      <c r="I227"/>
      <c r="J227"/>
      <c r="K227"/>
    </row>
    <row r="228" spans="2:11" x14ac:dyDescent="0.2">
      <c r="I228"/>
      <c r="J228"/>
      <c r="K228"/>
    </row>
    <row r="229" spans="2:11" x14ac:dyDescent="0.2">
      <c r="I229"/>
      <c r="J229"/>
      <c r="K229"/>
    </row>
    <row r="230" spans="2:11" x14ac:dyDescent="0.2">
      <c r="I230"/>
      <c r="J230"/>
      <c r="K230"/>
    </row>
    <row r="231" spans="2:11" x14ac:dyDescent="0.2">
      <c r="I231"/>
      <c r="J231"/>
      <c r="K231"/>
    </row>
    <row r="232" spans="2:11" x14ac:dyDescent="0.2">
      <c r="I232"/>
      <c r="J232"/>
      <c r="K232"/>
    </row>
    <row r="233" spans="2:11" x14ac:dyDescent="0.2">
      <c r="I233"/>
      <c r="J233"/>
      <c r="K233"/>
    </row>
    <row r="234" spans="2:11" x14ac:dyDescent="0.2">
      <c r="I234"/>
      <c r="J234"/>
      <c r="K234"/>
    </row>
    <row r="235" spans="2:11" x14ac:dyDescent="0.2">
      <c r="I235"/>
      <c r="J235"/>
      <c r="K235"/>
    </row>
    <row r="236" spans="2:11" x14ac:dyDescent="0.2">
      <c r="B236" s="30"/>
      <c r="C236" s="30"/>
      <c r="D236" s="30"/>
      <c r="E236" s="30"/>
    </row>
    <row r="237" spans="2:11" x14ac:dyDescent="0.2">
      <c r="B237" s="30"/>
      <c r="C237" s="30"/>
      <c r="D237" s="30"/>
      <c r="E237" s="30"/>
    </row>
    <row r="238" spans="2:11" x14ac:dyDescent="0.2">
      <c r="B238" s="30"/>
      <c r="C238" s="30"/>
      <c r="D238" s="30"/>
      <c r="E238" s="30"/>
    </row>
    <row r="239" spans="2:11" x14ac:dyDescent="0.2">
      <c r="B239" s="30"/>
      <c r="C239" s="30"/>
      <c r="D239" s="30"/>
      <c r="E239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B239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7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7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7" s="16" customFormat="1" ht="21" customHeight="1" x14ac:dyDescent="0.2">
      <c r="A4" s="11" t="s">
        <v>13</v>
      </c>
      <c r="B4" s="12">
        <v>43466</v>
      </c>
      <c r="C4" s="13">
        <v>43497</v>
      </c>
      <c r="D4" s="13">
        <v>43525</v>
      </c>
      <c r="E4" s="13">
        <v>43556</v>
      </c>
      <c r="F4" s="13">
        <v>43586</v>
      </c>
      <c r="G4" s="13">
        <v>43617</v>
      </c>
      <c r="H4" s="13">
        <v>43647</v>
      </c>
      <c r="I4" s="14">
        <v>43678</v>
      </c>
      <c r="J4" s="14">
        <v>43709</v>
      </c>
      <c r="K4" s="14">
        <v>43739</v>
      </c>
      <c r="L4" s="13">
        <v>43770</v>
      </c>
      <c r="M4" s="13">
        <v>43800</v>
      </c>
      <c r="N4" s="15" t="s">
        <v>53</v>
      </c>
      <c r="P4"/>
    </row>
    <row r="5" spans="1:27" s="21" customFormat="1" ht="21" customHeight="1" x14ac:dyDescent="0.2">
      <c r="A5" s="17" t="s">
        <v>0</v>
      </c>
      <c r="B5" s="18">
        <v>4.3739999999999997</v>
      </c>
      <c r="C5" s="19">
        <v>4.1050000000000004</v>
      </c>
      <c r="D5" s="19">
        <v>3.6880000000000002</v>
      </c>
      <c r="E5" s="19">
        <v>1.9319999999999999</v>
      </c>
      <c r="F5" s="19">
        <v>1.7050000000000001</v>
      </c>
      <c r="G5" s="19">
        <v>1.2250000000000001</v>
      </c>
      <c r="H5" s="19">
        <v>1.7210000000000001</v>
      </c>
      <c r="I5" s="45">
        <v>2.859</v>
      </c>
      <c r="J5" s="19">
        <v>5.2809999999999997</v>
      </c>
      <c r="K5" s="19">
        <v>5.1180000000000003</v>
      </c>
      <c r="L5" s="19">
        <v>4.82</v>
      </c>
      <c r="M5" s="19">
        <v>3.4169999999999998</v>
      </c>
      <c r="N5" s="20">
        <f>SUM(B5:M5)</f>
        <v>40.245000000000005</v>
      </c>
      <c r="P5"/>
    </row>
    <row r="6" spans="1:27" s="21" customFormat="1" ht="21" customHeight="1" x14ac:dyDescent="0.2">
      <c r="A6" s="22" t="s">
        <v>1</v>
      </c>
      <c r="B6" s="23">
        <v>5896</v>
      </c>
      <c r="C6" s="24">
        <v>5363</v>
      </c>
      <c r="D6" s="24">
        <v>5665</v>
      </c>
      <c r="E6" s="24">
        <v>5497</v>
      </c>
      <c r="F6" s="24">
        <v>5780</v>
      </c>
      <c r="G6" s="24">
        <v>5647</v>
      </c>
      <c r="H6" s="24">
        <v>5149</v>
      </c>
      <c r="I6" s="24">
        <v>6036</v>
      </c>
      <c r="J6" s="24">
        <v>5138</v>
      </c>
      <c r="K6" s="24">
        <v>5682</v>
      </c>
      <c r="L6" s="24">
        <v>4997</v>
      </c>
      <c r="M6" s="24">
        <v>5469</v>
      </c>
      <c r="N6" s="25">
        <f>SUM(B6:M6)</f>
        <v>66319</v>
      </c>
      <c r="P6"/>
    </row>
    <row r="7" spans="1:27" s="21" customFormat="1" ht="21" customHeight="1" x14ac:dyDescent="0.2">
      <c r="A7" s="26" t="s">
        <v>2</v>
      </c>
      <c r="B7" s="27">
        <v>74</v>
      </c>
      <c r="C7" s="28">
        <v>-151</v>
      </c>
      <c r="D7" s="28">
        <v>-163</v>
      </c>
      <c r="E7" s="28">
        <v>-62</v>
      </c>
      <c r="F7" s="28">
        <v>62</v>
      </c>
      <c r="G7" s="28">
        <v>-131</v>
      </c>
      <c r="H7" s="28">
        <v>34</v>
      </c>
      <c r="I7" s="28">
        <v>65</v>
      </c>
      <c r="J7" s="28">
        <v>14</v>
      </c>
      <c r="K7" s="28">
        <v>-76</v>
      </c>
      <c r="L7" s="28">
        <v>101</v>
      </c>
      <c r="M7" s="28">
        <v>115</v>
      </c>
      <c r="N7" s="29">
        <f t="shared" ref="N7:N49" si="0">SUM(B7:M7)</f>
        <v>-118</v>
      </c>
      <c r="P7"/>
    </row>
    <row r="8" spans="1:27" s="21" customFormat="1" ht="21" customHeight="1" x14ac:dyDescent="0.2">
      <c r="A8" s="26" t="s">
        <v>3</v>
      </c>
      <c r="B8" s="27">
        <v>2</v>
      </c>
      <c r="C8" s="28">
        <v>406</v>
      </c>
      <c r="D8" s="28">
        <v>-137</v>
      </c>
      <c r="E8" s="28">
        <v>-182</v>
      </c>
      <c r="F8" s="28">
        <v>302</v>
      </c>
      <c r="G8" s="28">
        <v>656</v>
      </c>
      <c r="H8" s="28">
        <v>-381</v>
      </c>
      <c r="I8" s="28">
        <v>39</v>
      </c>
      <c r="J8" s="28">
        <v>-137</v>
      </c>
      <c r="K8" s="28">
        <v>-47</v>
      </c>
      <c r="L8" s="28">
        <v>201</v>
      </c>
      <c r="M8" s="28">
        <v>-27</v>
      </c>
      <c r="N8" s="29">
        <f t="shared" si="0"/>
        <v>695</v>
      </c>
      <c r="P8"/>
    </row>
    <row r="9" spans="1:27" s="21" customFormat="1" ht="21" customHeight="1" x14ac:dyDescent="0.2">
      <c r="A9" s="26" t="s">
        <v>4</v>
      </c>
      <c r="B9" s="27">
        <v>116</v>
      </c>
      <c r="C9" s="28">
        <v>33</v>
      </c>
      <c r="D9" s="28">
        <v>15</v>
      </c>
      <c r="E9" s="28">
        <v>-25</v>
      </c>
      <c r="F9" s="28">
        <v>7</v>
      </c>
      <c r="G9" s="28">
        <v>-81</v>
      </c>
      <c r="H9" s="28">
        <v>128</v>
      </c>
      <c r="I9" s="28">
        <v>110</v>
      </c>
      <c r="J9" s="28">
        <v>-205</v>
      </c>
      <c r="K9" s="28">
        <v>75</v>
      </c>
      <c r="L9" s="28">
        <v>105</v>
      </c>
      <c r="M9" s="28">
        <v>-43</v>
      </c>
      <c r="N9" s="29">
        <f t="shared" si="0"/>
        <v>235</v>
      </c>
      <c r="P9"/>
    </row>
    <row r="10" spans="1:27" s="21" customFormat="1" ht="21" customHeight="1" x14ac:dyDescent="0.2">
      <c r="A10" s="26" t="s">
        <v>5</v>
      </c>
      <c r="B10" s="27">
        <v>45</v>
      </c>
      <c r="C10" s="28">
        <v>185</v>
      </c>
      <c r="D10" s="28">
        <v>180</v>
      </c>
      <c r="E10" s="28">
        <v>166</v>
      </c>
      <c r="F10" s="28">
        <v>19</v>
      </c>
      <c r="G10" s="28">
        <v>92</v>
      </c>
      <c r="H10" s="28">
        <v>122</v>
      </c>
      <c r="I10" s="28">
        <v>51</v>
      </c>
      <c r="J10" s="28">
        <v>76</v>
      </c>
      <c r="K10" s="28">
        <v>153</v>
      </c>
      <c r="L10" s="28">
        <v>138</v>
      </c>
      <c r="M10" s="28">
        <v>17</v>
      </c>
      <c r="N10" s="29">
        <f t="shared" si="0"/>
        <v>1244</v>
      </c>
      <c r="P10"/>
    </row>
    <row r="11" spans="1:27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/>
    </row>
    <row r="12" spans="1:27" s="31" customFormat="1" ht="21" customHeight="1" x14ac:dyDescent="0.2">
      <c r="A12" s="22" t="s">
        <v>7</v>
      </c>
      <c r="B12" s="24">
        <v>5901.3739999999998</v>
      </c>
      <c r="C12" s="24">
        <v>4962.1049999999996</v>
      </c>
      <c r="D12" s="24">
        <v>5807.6880000000001</v>
      </c>
      <c r="E12" s="24">
        <v>5809.9319999999998</v>
      </c>
      <c r="F12" s="24">
        <v>5553.7049999999999</v>
      </c>
      <c r="G12" s="24">
        <v>5034.2250000000004</v>
      </c>
      <c r="H12" s="24">
        <v>5559.7209999999995</v>
      </c>
      <c r="I12" s="24">
        <v>6005.8590000000004</v>
      </c>
      <c r="J12" s="24">
        <v>5575.2809999999999</v>
      </c>
      <c r="K12" s="24">
        <v>5736.1180000000004</v>
      </c>
      <c r="L12" s="24">
        <v>4934.82</v>
      </c>
      <c r="M12" s="24">
        <v>5674.4170000000004</v>
      </c>
      <c r="N12" s="25">
        <f>SUM(B12:M12)</f>
        <v>66555.244999999995</v>
      </c>
      <c r="P12"/>
    </row>
    <row r="13" spans="1:27" s="21" customFormat="1" ht="21" customHeight="1" x14ac:dyDescent="0.2">
      <c r="A13" s="26" t="s">
        <v>12</v>
      </c>
      <c r="B13" s="27">
        <v>5898</v>
      </c>
      <c r="C13" s="28">
        <v>4961</v>
      </c>
      <c r="D13" s="28">
        <v>5805</v>
      </c>
      <c r="E13" s="28">
        <v>5681</v>
      </c>
      <c r="F13" s="28">
        <v>5480</v>
      </c>
      <c r="G13" s="28">
        <v>4992</v>
      </c>
      <c r="H13" s="28">
        <v>5517</v>
      </c>
      <c r="I13" s="28">
        <v>6000</v>
      </c>
      <c r="J13" s="28">
        <v>5279</v>
      </c>
      <c r="K13" s="28">
        <v>5734</v>
      </c>
      <c r="L13" s="28">
        <v>4802</v>
      </c>
      <c r="M13" s="28">
        <v>5499</v>
      </c>
      <c r="N13" s="29">
        <f t="shared" si="0"/>
        <v>65648</v>
      </c>
      <c r="P13"/>
    </row>
    <row r="14" spans="1:27" s="21" customFormat="1" ht="21" customHeight="1" x14ac:dyDescent="0.2">
      <c r="A14" s="26" t="s">
        <v>8</v>
      </c>
      <c r="B14" s="27">
        <v>151.60100000000148</v>
      </c>
      <c r="C14" s="28">
        <v>149.15500000000065</v>
      </c>
      <c r="D14" s="28">
        <v>148</v>
      </c>
      <c r="E14" s="28">
        <v>39</v>
      </c>
      <c r="F14" s="28">
        <v>100.14000000000033</v>
      </c>
      <c r="G14" s="28">
        <v>4</v>
      </c>
      <c r="H14" s="28">
        <v>53.972999999999956</v>
      </c>
      <c r="I14" s="46">
        <v>30.577000000002045</v>
      </c>
      <c r="J14" s="28">
        <v>96</v>
      </c>
      <c r="K14" s="28">
        <v>187.05000000000018</v>
      </c>
      <c r="L14" s="28">
        <v>37</v>
      </c>
      <c r="M14" s="28">
        <v>45.860999999998967</v>
      </c>
      <c r="N14" s="29">
        <f t="shared" si="0"/>
        <v>1042.3570000000036</v>
      </c>
      <c r="P14"/>
      <c r="R14" s="42"/>
      <c r="S14" s="42"/>
      <c r="T14" s="42"/>
      <c r="U14" s="42"/>
      <c r="V14" s="42"/>
      <c r="W14" s="42"/>
      <c r="X14" s="42"/>
      <c r="Y14" s="42"/>
      <c r="Z14" s="42"/>
      <c r="AA14" s="42"/>
    </row>
    <row r="15" spans="1:27" s="32" customFormat="1" ht="21" customHeight="1" x14ac:dyDescent="0.2">
      <c r="A15" s="22" t="s">
        <v>9</v>
      </c>
      <c r="B15" s="24">
        <f t="shared" ref="B15:M15" si="1">SUM(B16:B49)</f>
        <v>5749.3989999999985</v>
      </c>
      <c r="C15" s="24">
        <f t="shared" si="1"/>
        <v>4812.8449999999993</v>
      </c>
      <c r="D15" s="24">
        <f t="shared" si="1"/>
        <v>5660</v>
      </c>
      <c r="E15" s="24">
        <f t="shared" si="1"/>
        <v>5771</v>
      </c>
      <c r="F15" s="24">
        <f t="shared" si="1"/>
        <v>5453.86</v>
      </c>
      <c r="G15" s="24">
        <f t="shared" si="1"/>
        <v>5030</v>
      </c>
      <c r="H15" s="24">
        <f t="shared" si="1"/>
        <v>5506.027</v>
      </c>
      <c r="I15" s="24">
        <f t="shared" si="1"/>
        <v>5975.422999999998</v>
      </c>
      <c r="J15" s="24">
        <f t="shared" si="1"/>
        <v>5479</v>
      </c>
      <c r="K15" s="24">
        <f t="shared" si="1"/>
        <v>5548.95</v>
      </c>
      <c r="L15" s="24">
        <f t="shared" si="1"/>
        <v>4898</v>
      </c>
      <c r="M15" s="24">
        <f t="shared" si="1"/>
        <v>5628.139000000001</v>
      </c>
      <c r="N15" s="25">
        <f t="shared" si="0"/>
        <v>65512.642999999996</v>
      </c>
      <c r="P15"/>
      <c r="Q15" s="21"/>
      <c r="R15" s="43"/>
      <c r="S15" s="43"/>
      <c r="T15" s="43"/>
      <c r="U15" s="43"/>
      <c r="V15" s="43"/>
      <c r="W15" s="43"/>
      <c r="X15" s="43"/>
      <c r="Y15" s="43"/>
      <c r="Z15" s="43"/>
      <c r="AA15" s="43"/>
    </row>
    <row r="16" spans="1:27" ht="16.5" customHeight="1" x14ac:dyDescent="0.2">
      <c r="A16" s="9" t="s">
        <v>14</v>
      </c>
      <c r="B16" s="3">
        <v>187.49</v>
      </c>
      <c r="C16" s="2">
        <v>151.22399999999999</v>
      </c>
      <c r="D16" s="2">
        <v>179.61699999999999</v>
      </c>
      <c r="E16" s="2">
        <v>186.22399999999999</v>
      </c>
      <c r="F16" s="2">
        <v>188.74</v>
      </c>
      <c r="G16" s="2">
        <v>177.38300000000001</v>
      </c>
      <c r="H16" s="2">
        <v>189.01400000000001</v>
      </c>
      <c r="I16" s="2">
        <v>203.47300000000001</v>
      </c>
      <c r="J16" s="2">
        <v>187.46600000000001</v>
      </c>
      <c r="K16" s="2">
        <v>157.595</v>
      </c>
      <c r="L16" s="2">
        <v>139.47999999999999</v>
      </c>
      <c r="M16" s="2">
        <v>165.63</v>
      </c>
      <c r="N16" s="4">
        <f t="shared" si="0"/>
        <v>2113.3359999999998</v>
      </c>
      <c r="Q16" s="21"/>
    </row>
    <row r="17" spans="1:28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21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</row>
    <row r="18" spans="1:28" ht="16.5" customHeight="1" x14ac:dyDescent="0.2">
      <c r="A18" s="9" t="s">
        <v>16</v>
      </c>
      <c r="B18" s="3">
        <v>103.246</v>
      </c>
      <c r="C18" s="2">
        <v>98</v>
      </c>
      <c r="D18" s="2">
        <v>75</v>
      </c>
      <c r="E18" s="2">
        <v>84</v>
      </c>
      <c r="F18" s="2">
        <v>50.688000000000002</v>
      </c>
      <c r="G18" s="2">
        <v>47</v>
      </c>
      <c r="H18" s="2">
        <v>59.115000000000002</v>
      </c>
      <c r="I18" s="2">
        <v>64.584000000000003</v>
      </c>
      <c r="J18" s="2">
        <v>56</v>
      </c>
      <c r="K18" s="2">
        <v>106.655</v>
      </c>
      <c r="L18" s="2">
        <v>112.31399999999999</v>
      </c>
      <c r="M18" s="2">
        <v>102.393</v>
      </c>
      <c r="N18" s="4">
        <f t="shared" si="0"/>
        <v>958.995</v>
      </c>
      <c r="Q18" s="21"/>
    </row>
    <row r="19" spans="1:28" ht="16.5" customHeight="1" x14ac:dyDescent="0.2">
      <c r="A19" s="9" t="s">
        <v>17</v>
      </c>
      <c r="B19" s="3">
        <v>4.7540000000000049</v>
      </c>
      <c r="C19" s="2">
        <v>0</v>
      </c>
      <c r="D19" s="2">
        <v>0</v>
      </c>
      <c r="E19" s="2">
        <v>0</v>
      </c>
      <c r="F19" s="2">
        <v>7.3119999999999976</v>
      </c>
      <c r="G19" s="2">
        <v>0</v>
      </c>
      <c r="H19" s="2">
        <v>16.884999999999998</v>
      </c>
      <c r="I19" s="2">
        <v>17.415999999999997</v>
      </c>
      <c r="J19" s="2">
        <v>0</v>
      </c>
      <c r="K19" s="2">
        <v>56.344999999999999</v>
      </c>
      <c r="L19" s="2">
        <v>51.686000000000007</v>
      </c>
      <c r="M19" s="2">
        <v>53.606999999999999</v>
      </c>
      <c r="N19" s="4">
        <f t="shared" si="0"/>
        <v>208.005</v>
      </c>
      <c r="Q19" s="21"/>
    </row>
    <row r="20" spans="1:28" ht="16.5" customHeight="1" x14ac:dyDescent="0.2">
      <c r="A20" s="9" t="s">
        <v>18</v>
      </c>
      <c r="B20" s="3">
        <v>122</v>
      </c>
      <c r="C20" s="2">
        <v>110</v>
      </c>
      <c r="D20" s="2">
        <v>124</v>
      </c>
      <c r="E20" s="2">
        <v>107</v>
      </c>
      <c r="F20" s="2">
        <v>70</v>
      </c>
      <c r="G20" s="2">
        <v>128</v>
      </c>
      <c r="H20" s="2">
        <v>158</v>
      </c>
      <c r="I20" s="2">
        <v>156</v>
      </c>
      <c r="J20" s="2">
        <v>117</v>
      </c>
      <c r="K20" s="2">
        <v>117</v>
      </c>
      <c r="L20" s="2">
        <v>111</v>
      </c>
      <c r="M20" s="2">
        <v>118</v>
      </c>
      <c r="N20" s="4">
        <f t="shared" si="0"/>
        <v>1438</v>
      </c>
      <c r="Q20" s="21"/>
    </row>
    <row r="21" spans="1:28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Q21" s="21"/>
    </row>
    <row r="22" spans="1:28" ht="16.5" customHeight="1" x14ac:dyDescent="0.2">
      <c r="A22" s="9" t="s">
        <v>20</v>
      </c>
      <c r="B22" s="3">
        <v>82.123999999999995</v>
      </c>
      <c r="C22" s="2">
        <v>84.879000000000005</v>
      </c>
      <c r="D22" s="2">
        <v>89.045000000000002</v>
      </c>
      <c r="E22" s="2">
        <v>92.606999999999999</v>
      </c>
      <c r="F22" s="2">
        <v>103.83</v>
      </c>
      <c r="G22" s="2">
        <v>85.340999999999994</v>
      </c>
      <c r="H22" s="2">
        <v>96.808999999999997</v>
      </c>
      <c r="I22" s="2">
        <v>91.673000000000002</v>
      </c>
      <c r="J22" s="2">
        <v>100.60899999999999</v>
      </c>
      <c r="K22" s="2">
        <v>70.19</v>
      </c>
      <c r="L22" s="2">
        <v>96.724000000000004</v>
      </c>
      <c r="M22" s="2">
        <v>101.486</v>
      </c>
      <c r="N22" s="4">
        <f t="shared" si="0"/>
        <v>1095.317</v>
      </c>
      <c r="Q22" s="21"/>
    </row>
    <row r="23" spans="1:28" ht="16.5" customHeight="1" x14ac:dyDescent="0.2">
      <c r="A23" s="9" t="s">
        <v>21</v>
      </c>
      <c r="B23" s="3">
        <v>9.3439999999999994</v>
      </c>
      <c r="C23" s="2">
        <v>3.875</v>
      </c>
      <c r="D23" s="2">
        <v>0.32700000000000001</v>
      </c>
      <c r="E23" s="2">
        <v>5.28</v>
      </c>
      <c r="F23" s="2">
        <v>3.0539999999999998</v>
      </c>
      <c r="G23" s="2">
        <v>6.907</v>
      </c>
      <c r="H23" s="2">
        <v>7.1529999999999996</v>
      </c>
      <c r="I23" s="2">
        <v>13.695</v>
      </c>
      <c r="J23" s="2">
        <v>7.8929999999999998</v>
      </c>
      <c r="K23" s="2">
        <v>14.686</v>
      </c>
      <c r="L23" s="2">
        <v>0.85399999999999998</v>
      </c>
      <c r="M23" s="2">
        <v>4.2859999999999996</v>
      </c>
      <c r="N23" s="4">
        <f t="shared" si="0"/>
        <v>77.353999999999999</v>
      </c>
      <c r="Q23" s="21"/>
    </row>
    <row r="24" spans="1:28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Q24" s="31"/>
    </row>
    <row r="25" spans="1:28" ht="16.5" customHeight="1" x14ac:dyDescent="0.2">
      <c r="A25" s="9" t="s">
        <v>23</v>
      </c>
      <c r="B25" s="3">
        <v>621.09699999999998</v>
      </c>
      <c r="C25" s="2">
        <v>487.89</v>
      </c>
      <c r="D25" s="2">
        <v>603.07600000000002</v>
      </c>
      <c r="E25" s="2">
        <v>711.61599999999999</v>
      </c>
      <c r="F25" s="2">
        <v>670.30599999999993</v>
      </c>
      <c r="G25" s="2">
        <v>640.74300000000017</v>
      </c>
      <c r="H25" s="2">
        <v>680.90300000000002</v>
      </c>
      <c r="I25" s="2">
        <v>766.1719999999998</v>
      </c>
      <c r="J25" s="2">
        <v>667.21600000000001</v>
      </c>
      <c r="K25" s="2">
        <v>697.43400000000008</v>
      </c>
      <c r="L25" s="2">
        <v>616.76599999999996</v>
      </c>
      <c r="M25" s="2">
        <v>751.697</v>
      </c>
      <c r="N25" s="4">
        <f t="shared" si="0"/>
        <v>7914.9160000000002</v>
      </c>
      <c r="Q25" s="21"/>
    </row>
    <row r="26" spans="1:28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Q26" s="42"/>
    </row>
    <row r="27" spans="1:28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Q27" s="43"/>
    </row>
    <row r="28" spans="1:28" ht="16.5" customHeight="1" x14ac:dyDescent="0.2">
      <c r="A28" s="9" t="s">
        <v>26</v>
      </c>
      <c r="B28" s="3">
        <v>23.158999999999999</v>
      </c>
      <c r="C28" s="2">
        <v>22.954999999999998</v>
      </c>
      <c r="D28" s="2">
        <v>33.887999999999998</v>
      </c>
      <c r="E28" s="2">
        <v>33.664000000000001</v>
      </c>
      <c r="F28" s="2">
        <v>38.590000000000003</v>
      </c>
      <c r="G28" s="2">
        <v>37.918999999999997</v>
      </c>
      <c r="H28" s="2">
        <v>40.542999999999999</v>
      </c>
      <c r="I28" s="2">
        <v>45.167000000000002</v>
      </c>
      <c r="J28" s="2">
        <v>42.14</v>
      </c>
      <c r="K28" s="2">
        <v>38.887999999999998</v>
      </c>
      <c r="L28" s="2">
        <v>51.558999999999997</v>
      </c>
      <c r="M28" s="2">
        <v>45.738</v>
      </c>
      <c r="N28" s="4">
        <f t="shared" si="0"/>
        <v>454.21</v>
      </c>
    </row>
    <row r="29" spans="1:28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Q29" s="38"/>
    </row>
    <row r="30" spans="1:28" ht="16.5" customHeight="1" x14ac:dyDescent="0.2">
      <c r="A30" s="9" t="s">
        <v>28</v>
      </c>
      <c r="B30" s="3">
        <v>877.16600000000005</v>
      </c>
      <c r="C30" s="2">
        <v>750</v>
      </c>
      <c r="D30" s="2">
        <v>880.43499999999995</v>
      </c>
      <c r="E30" s="2">
        <v>875</v>
      </c>
      <c r="F30" s="2">
        <v>831</v>
      </c>
      <c r="G30" s="2">
        <v>722</v>
      </c>
      <c r="H30" s="2">
        <v>836</v>
      </c>
      <c r="I30" s="2">
        <v>925.596</v>
      </c>
      <c r="J30" s="2">
        <v>764.62</v>
      </c>
      <c r="K30" s="2">
        <v>752</v>
      </c>
      <c r="L30" s="2">
        <v>769.78300000000002</v>
      </c>
      <c r="M30" s="2">
        <v>833.04600000000005</v>
      </c>
      <c r="N30" s="4">
        <f t="shared" si="0"/>
        <v>9816.6459999999988</v>
      </c>
    </row>
    <row r="31" spans="1:28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8" ht="16.5" customHeight="1" x14ac:dyDescent="0.2">
      <c r="A32" s="9" t="s">
        <v>30</v>
      </c>
      <c r="B32" s="3">
        <v>288.11500000000001</v>
      </c>
      <c r="C32" s="2">
        <v>262.64600000000002</v>
      </c>
      <c r="D32" s="2">
        <v>296.82400000000001</v>
      </c>
      <c r="E32" s="2">
        <v>267.041</v>
      </c>
      <c r="F32" s="2">
        <v>250.41499999999999</v>
      </c>
      <c r="G32" s="2">
        <v>225.238</v>
      </c>
      <c r="H32" s="2">
        <v>251.44</v>
      </c>
      <c r="I32" s="2">
        <v>282.55700000000002</v>
      </c>
      <c r="J32" s="2">
        <v>294.49299999999999</v>
      </c>
      <c r="K32" s="2">
        <v>280.38299999999998</v>
      </c>
      <c r="L32" s="2">
        <v>193.82499999999999</v>
      </c>
      <c r="M32" s="2">
        <v>288.10599999999999</v>
      </c>
      <c r="N32" s="4">
        <f t="shared" si="0"/>
        <v>3181.0829999999996</v>
      </c>
    </row>
    <row r="33" spans="1:14" ht="16.5" customHeight="1" x14ac:dyDescent="0.2">
      <c r="A33" s="9" t="s">
        <v>31</v>
      </c>
      <c r="B33" s="3">
        <v>32.475000000000001</v>
      </c>
      <c r="C33" s="2">
        <v>27.805</v>
      </c>
      <c r="D33" s="2">
        <v>27.207000000000001</v>
      </c>
      <c r="E33" s="2">
        <v>33.369</v>
      </c>
      <c r="F33" s="2">
        <v>4.7759999999999998</v>
      </c>
      <c r="G33" s="2">
        <v>20.356999999999999</v>
      </c>
      <c r="H33" s="2">
        <v>22.04</v>
      </c>
      <c r="I33" s="2">
        <v>19.085999999999999</v>
      </c>
      <c r="J33" s="2">
        <v>17.457000000000001</v>
      </c>
      <c r="K33" s="2">
        <v>19.023</v>
      </c>
      <c r="L33" s="2">
        <v>32.115000000000002</v>
      </c>
      <c r="M33" s="2">
        <v>26.832000000000001</v>
      </c>
      <c r="N33" s="4">
        <f t="shared" si="0"/>
        <v>282.54199999999997</v>
      </c>
    </row>
    <row r="34" spans="1:14" ht="16.5" customHeight="1" x14ac:dyDescent="0.2">
      <c r="A34" s="9" t="s">
        <v>32</v>
      </c>
      <c r="B34" s="3">
        <v>11.435</v>
      </c>
      <c r="C34" s="2">
        <v>11.211</v>
      </c>
      <c r="D34" s="2">
        <v>11.705</v>
      </c>
      <c r="E34" s="2">
        <v>2.8010000000000002</v>
      </c>
      <c r="F34" s="2">
        <v>1.008</v>
      </c>
      <c r="G34" s="2">
        <v>1.0129999999999999</v>
      </c>
      <c r="H34" s="2">
        <v>1.298</v>
      </c>
      <c r="I34" s="2">
        <v>0.89400000000000002</v>
      </c>
      <c r="J34" s="2">
        <v>3.4180000000000001</v>
      </c>
      <c r="K34" s="2">
        <v>4.33</v>
      </c>
      <c r="L34" s="2">
        <v>18.209</v>
      </c>
      <c r="M34" s="2">
        <v>7.7629999999999999</v>
      </c>
      <c r="N34" s="4">
        <f t="shared" si="0"/>
        <v>75.085000000000008</v>
      </c>
    </row>
    <row r="35" spans="1:14" ht="16.5" customHeight="1" x14ac:dyDescent="0.2">
      <c r="A35" s="9" t="s">
        <v>33</v>
      </c>
      <c r="B35" s="3">
        <v>64.807000000000002</v>
      </c>
      <c r="C35" s="2">
        <v>28.765999999999998</v>
      </c>
      <c r="D35" s="2">
        <v>29.17</v>
      </c>
      <c r="E35" s="2">
        <v>60.405999999999999</v>
      </c>
      <c r="F35" s="2">
        <v>68.805999999999997</v>
      </c>
      <c r="G35" s="2">
        <v>66.278000000000006</v>
      </c>
      <c r="H35" s="2">
        <v>69.385999999999996</v>
      </c>
      <c r="I35" s="2">
        <v>67.239000000000004</v>
      </c>
      <c r="J35" s="2">
        <v>68.885000000000005</v>
      </c>
      <c r="K35" s="2">
        <v>70.358999999999995</v>
      </c>
      <c r="L35" s="2">
        <v>72.953999999999994</v>
      </c>
      <c r="M35" s="2">
        <v>78.131</v>
      </c>
      <c r="N35" s="4">
        <f t="shared" si="0"/>
        <v>745.18700000000001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1914.2829999999999</v>
      </c>
      <c r="C37" s="2">
        <v>1639.9749999999999</v>
      </c>
      <c r="D37" s="2">
        <v>1984.97</v>
      </c>
      <c r="E37" s="2">
        <v>2063.837</v>
      </c>
      <c r="F37" s="2">
        <v>2013.114</v>
      </c>
      <c r="G37" s="2">
        <v>1778.0889999999999</v>
      </c>
      <c r="H37" s="2">
        <v>1870.91</v>
      </c>
      <c r="I37" s="2">
        <v>2045.961</v>
      </c>
      <c r="J37" s="2">
        <v>1860.328</v>
      </c>
      <c r="K37" s="2">
        <v>1910.251</v>
      </c>
      <c r="L37" s="2">
        <v>1767.4749999999999</v>
      </c>
      <c r="M37" s="2">
        <v>2002.153</v>
      </c>
      <c r="N37" s="4">
        <f t="shared" si="0"/>
        <v>22851.345999999998</v>
      </c>
    </row>
    <row r="38" spans="1:14" ht="16.5" customHeight="1" x14ac:dyDescent="0.2">
      <c r="A38" s="9" t="s">
        <v>36</v>
      </c>
      <c r="B38" s="3">
        <v>9.8849999999999998</v>
      </c>
      <c r="C38" s="2">
        <v>8.5969999999999995</v>
      </c>
      <c r="D38" s="2">
        <v>15.124000000000001</v>
      </c>
      <c r="E38" s="2">
        <v>16.545999999999999</v>
      </c>
      <c r="F38" s="2">
        <v>18.881</v>
      </c>
      <c r="G38" s="2">
        <v>17.024999999999999</v>
      </c>
      <c r="H38" s="2">
        <v>15.926</v>
      </c>
      <c r="I38" s="2">
        <v>13.263</v>
      </c>
      <c r="J38" s="2">
        <v>16.419</v>
      </c>
      <c r="K38" s="2">
        <v>17.654</v>
      </c>
      <c r="L38" s="2">
        <v>6.4219999999999997</v>
      </c>
      <c r="M38" s="2">
        <v>6.0149999999999997</v>
      </c>
      <c r="N38" s="4">
        <f t="shared" si="0"/>
        <v>161.75699999999998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3.6999999999999998E-2</v>
      </c>
      <c r="N40" s="4">
        <f t="shared" si="0"/>
        <v>3.6999999999999998E-2</v>
      </c>
    </row>
    <row r="41" spans="1:14" ht="16.5" customHeight="1" x14ac:dyDescent="0.2">
      <c r="A41" s="9" t="s">
        <v>39</v>
      </c>
      <c r="B41" s="3">
        <v>0.91500000000000004</v>
      </c>
      <c r="C41" s="2">
        <v>0</v>
      </c>
      <c r="D41" s="2">
        <v>0</v>
      </c>
      <c r="E41" s="2">
        <v>1.99</v>
      </c>
      <c r="F41" s="2">
        <v>16.882999999999999</v>
      </c>
      <c r="G41" s="2">
        <v>0</v>
      </c>
      <c r="H41" s="2">
        <v>7.0000000000000001E-3</v>
      </c>
      <c r="I41" s="2">
        <v>5.6000000000000001E-2</v>
      </c>
      <c r="J41" s="2">
        <v>6.4000000000000001E-2</v>
      </c>
      <c r="K41" s="2">
        <v>3.464</v>
      </c>
      <c r="L41" s="2">
        <v>1.7999999999999999E-2</v>
      </c>
      <c r="M41" s="2">
        <v>2.4E-2</v>
      </c>
      <c r="N41" s="4">
        <f t="shared" si="0"/>
        <v>23.421000000000003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463.10399999999998</v>
      </c>
      <c r="C43" s="2">
        <v>349.02199999999999</v>
      </c>
      <c r="D43" s="2">
        <v>453.38799999999998</v>
      </c>
      <c r="E43" s="2">
        <v>469.601</v>
      </c>
      <c r="F43" s="2">
        <v>406.46199999999999</v>
      </c>
      <c r="G43" s="2">
        <v>447.06200000000001</v>
      </c>
      <c r="H43" s="2">
        <v>425.464</v>
      </c>
      <c r="I43" s="2">
        <v>497.37</v>
      </c>
      <c r="J43" s="2">
        <v>440.75199999999995</v>
      </c>
      <c r="K43" s="2">
        <v>444.84200000000004</v>
      </c>
      <c r="L43" s="2">
        <v>273.02600000000001</v>
      </c>
      <c r="M43" s="2">
        <v>362.14299999999997</v>
      </c>
      <c r="N43" s="4">
        <f t="shared" si="0"/>
        <v>5032.235999999999</v>
      </c>
    </row>
    <row r="44" spans="1:14" ht="16.5" customHeight="1" x14ac:dyDescent="0.2">
      <c r="A44" s="9" t="s">
        <v>41</v>
      </c>
      <c r="B44" s="3">
        <v>31.436</v>
      </c>
      <c r="C44" s="2">
        <v>25.481999999999999</v>
      </c>
      <c r="D44" s="2">
        <v>30.916</v>
      </c>
      <c r="E44" s="2">
        <v>31.247</v>
      </c>
      <c r="F44" s="2">
        <v>32.749000000000002</v>
      </c>
      <c r="G44" s="2">
        <v>33.136000000000003</v>
      </c>
      <c r="H44" s="2">
        <v>32.488</v>
      </c>
      <c r="I44" s="2">
        <v>35.073</v>
      </c>
      <c r="J44" s="2">
        <v>23.081</v>
      </c>
      <c r="K44" s="2">
        <v>25.582999999999998</v>
      </c>
      <c r="L44" s="2">
        <v>17.896999999999998</v>
      </c>
      <c r="M44" s="2">
        <v>35.137</v>
      </c>
      <c r="N44" s="4">
        <f t="shared" si="0"/>
        <v>354.22500000000002</v>
      </c>
    </row>
    <row r="45" spans="1:14" ht="16.5" customHeight="1" x14ac:dyDescent="0.2">
      <c r="A45" s="9" t="s">
        <v>42</v>
      </c>
      <c r="B45" s="3">
        <v>201.15100000000001</v>
      </c>
      <c r="C45" s="2">
        <v>181.93899999999999</v>
      </c>
      <c r="D45" s="2">
        <v>182.44499999999999</v>
      </c>
      <c r="E45" s="2">
        <v>218.494</v>
      </c>
      <c r="F45" s="2">
        <v>200.41900000000001</v>
      </c>
      <c r="G45" s="2">
        <v>207.93299999999999</v>
      </c>
      <c r="H45" s="2">
        <v>250.62700000000001</v>
      </c>
      <c r="I45" s="2">
        <v>205.03100000000001</v>
      </c>
      <c r="J45" s="2">
        <v>229.399</v>
      </c>
      <c r="K45" s="2">
        <v>166.255</v>
      </c>
      <c r="L45" s="2">
        <v>160.93600000000001</v>
      </c>
      <c r="M45" s="2">
        <v>167.96100000000001</v>
      </c>
      <c r="N45" s="4">
        <f t="shared" si="0"/>
        <v>2372.59</v>
      </c>
    </row>
    <row r="46" spans="1:14" ht="16.5" customHeight="1" x14ac:dyDescent="0.2">
      <c r="A46" s="9" t="s">
        <v>43</v>
      </c>
      <c r="B46" s="3">
        <v>16.004999999999999</v>
      </c>
      <c r="C46" s="2">
        <v>14.253</v>
      </c>
      <c r="D46" s="2">
        <v>25.425999999999998</v>
      </c>
      <c r="E46" s="2">
        <v>15.363</v>
      </c>
      <c r="F46" s="2">
        <v>13.622</v>
      </c>
      <c r="G46" s="2">
        <v>16.603000000000002</v>
      </c>
      <c r="H46" s="2">
        <v>17.853999999999999</v>
      </c>
      <c r="I46" s="2">
        <v>11.364000000000001</v>
      </c>
      <c r="J46" s="2">
        <v>23.651</v>
      </c>
      <c r="K46" s="2">
        <v>17.356999999999999</v>
      </c>
      <c r="L46" s="2">
        <v>15.177</v>
      </c>
      <c r="M46" s="2">
        <v>14.881</v>
      </c>
      <c r="N46" s="4">
        <f t="shared" si="0"/>
        <v>201.55599999999998</v>
      </c>
    </row>
    <row r="47" spans="1:14" ht="16.5" customHeight="1" x14ac:dyDescent="0.2">
      <c r="A47" s="9" t="s">
        <v>44</v>
      </c>
      <c r="B47" s="3">
        <v>8.0830000000000002</v>
      </c>
      <c r="C47" s="2">
        <v>7.4329999999999998</v>
      </c>
      <c r="D47" s="2">
        <v>6.2460000000000004</v>
      </c>
      <c r="E47" s="2">
        <v>6.9960000000000004</v>
      </c>
      <c r="F47" s="2">
        <v>7.8890000000000002</v>
      </c>
      <c r="G47" s="2">
        <v>6.8079999999999998</v>
      </c>
      <c r="H47" s="2">
        <v>7.39</v>
      </c>
      <c r="I47" s="2">
        <v>5.9649999999999999</v>
      </c>
      <c r="J47" s="2">
        <v>6.2839999999999998</v>
      </c>
      <c r="K47" s="2">
        <v>5.8890000000000002</v>
      </c>
      <c r="L47" s="2">
        <v>2.98</v>
      </c>
      <c r="M47" s="2">
        <v>5.5880000000000001</v>
      </c>
      <c r="N47" s="4">
        <f t="shared" si="0"/>
        <v>77.551000000000002</v>
      </c>
    </row>
    <row r="48" spans="1:14" ht="16.5" customHeight="1" x14ac:dyDescent="0.2">
      <c r="A48" s="9" t="s">
        <v>45</v>
      </c>
      <c r="B48" s="3">
        <v>335</v>
      </c>
      <c r="C48" s="2">
        <v>280</v>
      </c>
      <c r="D48" s="2">
        <v>304.983</v>
      </c>
      <c r="E48" s="2">
        <v>303.58199999999999</v>
      </c>
      <c r="F48" s="2">
        <v>255.995</v>
      </c>
      <c r="G48" s="2">
        <v>251.203</v>
      </c>
      <c r="H48" s="2">
        <v>303.91800000000001</v>
      </c>
      <c r="I48" s="2">
        <v>320.221</v>
      </c>
      <c r="J48" s="2">
        <v>287.53399999999999</v>
      </c>
      <c r="K48" s="2">
        <v>306.851</v>
      </c>
      <c r="L48" s="2">
        <v>319.95699999999999</v>
      </c>
      <c r="M48" s="2">
        <v>333.72500000000002</v>
      </c>
      <c r="N48" s="4">
        <f t="shared" si="0"/>
        <v>3602.9690000000001</v>
      </c>
    </row>
    <row r="49" spans="1:14" ht="18" customHeight="1" x14ac:dyDescent="0.2">
      <c r="A49" s="10" t="s">
        <v>52</v>
      </c>
      <c r="B49" s="7">
        <v>342.32499999999999</v>
      </c>
      <c r="C49" s="5">
        <v>266.89300000000003</v>
      </c>
      <c r="D49" s="5">
        <v>306.20799999999963</v>
      </c>
      <c r="E49" s="5">
        <v>184.33600000000024</v>
      </c>
      <c r="F49" s="5">
        <v>199.32099999999997</v>
      </c>
      <c r="G49" s="5">
        <v>113.96199999999862</v>
      </c>
      <c r="H49" s="5">
        <v>152.85700000000003</v>
      </c>
      <c r="I49" s="5">
        <v>187.56700000000001</v>
      </c>
      <c r="J49" s="5">
        <v>264.29100000000017</v>
      </c>
      <c r="K49" s="5">
        <v>265.916</v>
      </c>
      <c r="L49" s="5">
        <v>66.843000000000757</v>
      </c>
      <c r="M49" s="5">
        <v>123.75999999999999</v>
      </c>
      <c r="N49" s="6">
        <f t="shared" si="0"/>
        <v>2474.2789999999995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spans="2:11" x14ac:dyDescent="0.2">
      <c r="I193"/>
      <c r="J193"/>
      <c r="K193"/>
    </row>
    <row r="194" spans="2:11" x14ac:dyDescent="0.2">
      <c r="I194"/>
      <c r="J194"/>
      <c r="K194"/>
    </row>
    <row r="195" spans="2:11" x14ac:dyDescent="0.2">
      <c r="I195"/>
      <c r="J195"/>
      <c r="K195"/>
    </row>
    <row r="196" spans="2:11" x14ac:dyDescent="0.2">
      <c r="I196"/>
      <c r="J196"/>
      <c r="K196"/>
    </row>
    <row r="197" spans="2:11" x14ac:dyDescent="0.2">
      <c r="I197"/>
      <c r="J197"/>
      <c r="K197"/>
    </row>
    <row r="198" spans="2:11" x14ac:dyDescent="0.2">
      <c r="I198"/>
      <c r="J198"/>
      <c r="K198"/>
    </row>
    <row r="199" spans="2:11" x14ac:dyDescent="0.2">
      <c r="I199"/>
      <c r="J199"/>
      <c r="K199"/>
    </row>
    <row r="200" spans="2:11" x14ac:dyDescent="0.2">
      <c r="I200"/>
      <c r="J200"/>
      <c r="K200"/>
    </row>
    <row r="201" spans="2:11" x14ac:dyDescent="0.2">
      <c r="I201"/>
      <c r="J201"/>
      <c r="K201"/>
    </row>
    <row r="202" spans="2:11" x14ac:dyDescent="0.2">
      <c r="B202" s="30"/>
      <c r="C202" s="30"/>
      <c r="D202" s="30"/>
      <c r="E202" s="30"/>
    </row>
    <row r="203" spans="2:11" x14ac:dyDescent="0.2">
      <c r="B203" s="30"/>
      <c r="C203" s="30"/>
      <c r="D203" s="30"/>
      <c r="E203" s="30"/>
    </row>
    <row r="204" spans="2:11" x14ac:dyDescent="0.2">
      <c r="B204" s="30"/>
      <c r="C204" s="30"/>
      <c r="D204" s="30"/>
      <c r="E204" s="30"/>
    </row>
    <row r="205" spans="2:11" x14ac:dyDescent="0.2">
      <c r="B205" s="30"/>
      <c r="C205" s="30"/>
      <c r="D205" s="30"/>
      <c r="E205" s="30"/>
    </row>
    <row r="206" spans="2:11" x14ac:dyDescent="0.2">
      <c r="B206" s="30"/>
      <c r="C206" s="30"/>
      <c r="D206" s="30"/>
      <c r="E206" s="30"/>
    </row>
    <row r="207" spans="2:11" x14ac:dyDescent="0.2">
      <c r="B207" s="30"/>
      <c r="C207" s="30"/>
      <c r="D207" s="30"/>
      <c r="E207" s="30"/>
    </row>
    <row r="208" spans="2:11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17</vt:i4>
      </vt:variant>
    </vt:vector>
  </HeadingPairs>
  <TitlesOfParts>
    <vt:vector size="35" baseType="lpstr">
      <vt:lpstr>Carátula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Evolución_Anual</vt:lpstr>
      <vt:lpstr>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  <vt:lpstr>'2025'!Área_de_impresión</vt:lpstr>
      <vt:lpstr>'2026'!Área_de_impresión</vt:lpstr>
      <vt:lpstr>Carátula!Área_de_impresión</vt:lpstr>
      <vt:lpstr>Evolución_Anual!Área_de_impresión</vt:lpstr>
      <vt:lpstr>Impresión!Área_de_impresión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2023-10-19T09:07:44Z</dcterms:created>
  <dcterms:modified xsi:type="dcterms:W3CDTF">2026-07-20T09:37:23Z</dcterms:modified>
</cp:coreProperties>
</file>