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4.xml" ContentType="application/vnd.openxmlformats-officedocument.drawingml.chart+xml"/>
  <Override PartName="/xl/drawings/drawing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B295FFB9-C69D-4AAC-8383-4F454F51C413}" xr6:coauthVersionLast="47" xr6:coauthVersionMax="47" xr10:uidLastSave="{00000000-0000-0000-0000-000000000000}"/>
  <bookViews>
    <workbookView xWindow="-120" yWindow="-120" windowWidth="29040" windowHeight="15840" tabRatio="599" firstSheet="1" activeTab="14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9" r:id="rId14"/>
    <sheet name="2025" sheetId="20" r:id="rId15"/>
    <sheet name="Evolución_Anual" sheetId="16" r:id="rId16"/>
    <sheet name="Impresión" sheetId="17" state="hidden" r:id="rId17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13">'2024'!$AB$30:$AQ$76</definedName>
    <definedName name="_xlnm.Print_Area" localSheetId="14">'2025'!$AB$30:$AQ$76</definedName>
    <definedName name="_xlnm.Print_Area" localSheetId="0">Carátula!$A$1:$H$41</definedName>
    <definedName name="_xlnm.Print_Area" localSheetId="15">Evolución_Anual!$A$1:$M$46</definedName>
    <definedName name="_xlnm.Print_Area" localSheetId="16">Impresión!$A$1:$R$48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5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0" l="1"/>
  <c r="F15" i="20"/>
  <c r="AV50" i="20"/>
  <c r="AU50" i="20"/>
  <c r="AV49" i="20"/>
  <c r="AU49" i="20"/>
  <c r="N49" i="20"/>
  <c r="AV48" i="20"/>
  <c r="AU48" i="20"/>
  <c r="N48" i="20"/>
  <c r="AV47" i="20"/>
  <c r="AU47" i="20"/>
  <c r="N47" i="20"/>
  <c r="AV46" i="20"/>
  <c r="AU46" i="20"/>
  <c r="N46" i="20"/>
  <c r="AV45" i="20"/>
  <c r="AU45" i="20"/>
  <c r="N45" i="20"/>
  <c r="AV44" i="20"/>
  <c r="AU44" i="20"/>
  <c r="N44" i="20"/>
  <c r="AV43" i="20"/>
  <c r="AU43" i="20"/>
  <c r="N43" i="20"/>
  <c r="AV42" i="20"/>
  <c r="AU42" i="20"/>
  <c r="N42" i="20"/>
  <c r="AV41" i="20"/>
  <c r="AU41" i="20"/>
  <c r="N41" i="20"/>
  <c r="AV40" i="20"/>
  <c r="AU40" i="20"/>
  <c r="N40" i="20"/>
  <c r="AV39" i="20"/>
  <c r="AU39" i="20"/>
  <c r="N39" i="20"/>
  <c r="AV38" i="20"/>
  <c r="AU38" i="20"/>
  <c r="N38" i="20"/>
  <c r="AV37" i="20"/>
  <c r="AU37" i="20"/>
  <c r="N37" i="20"/>
  <c r="AV36" i="20"/>
  <c r="AU36" i="20"/>
  <c r="N36" i="20"/>
  <c r="AV35" i="20"/>
  <c r="AU35" i="20"/>
  <c r="N35" i="20"/>
  <c r="AV34" i="20"/>
  <c r="AU34" i="20"/>
  <c r="N34" i="20"/>
  <c r="AV33" i="20"/>
  <c r="AU33" i="20"/>
  <c r="N33" i="20"/>
  <c r="AV32" i="20"/>
  <c r="AU32" i="20"/>
  <c r="N32" i="20"/>
  <c r="AV31" i="20"/>
  <c r="AU31" i="20"/>
  <c r="N31" i="20"/>
  <c r="AV30" i="20"/>
  <c r="AU30" i="20"/>
  <c r="N30" i="20"/>
  <c r="AV29" i="20"/>
  <c r="AU29" i="20"/>
  <c r="N29" i="20"/>
  <c r="AV28" i="20"/>
  <c r="AU28" i="20"/>
  <c r="N28" i="20"/>
  <c r="AV27" i="20"/>
  <c r="AU27" i="20"/>
  <c r="N27" i="20"/>
  <c r="AV26" i="20"/>
  <c r="AU26" i="20"/>
  <c r="N26" i="20"/>
  <c r="AV25" i="20"/>
  <c r="AU25" i="20"/>
  <c r="N25" i="20"/>
  <c r="AV24" i="20"/>
  <c r="AU24" i="20"/>
  <c r="N24" i="20"/>
  <c r="AV23" i="20"/>
  <c r="AU23" i="20"/>
  <c r="N23" i="20"/>
  <c r="AV22" i="20"/>
  <c r="AU22" i="20"/>
  <c r="N22" i="20"/>
  <c r="AV21" i="20"/>
  <c r="AU21" i="20"/>
  <c r="N21" i="20"/>
  <c r="AV20" i="20"/>
  <c r="AU20" i="20"/>
  <c r="N20" i="20"/>
  <c r="AV19" i="20"/>
  <c r="AU19" i="20"/>
  <c r="N19" i="20"/>
  <c r="AV18" i="20"/>
  <c r="AU18" i="20"/>
  <c r="N18" i="20"/>
  <c r="AV17" i="20"/>
  <c r="AU17" i="20"/>
  <c r="N17" i="20"/>
  <c r="N16" i="20"/>
  <c r="AV15" i="20"/>
  <c r="AU15" i="20"/>
  <c r="N15" i="20"/>
  <c r="AV14" i="20"/>
  <c r="AU14" i="20"/>
  <c r="N14" i="20"/>
  <c r="AV13" i="20"/>
  <c r="AU13" i="20"/>
  <c r="N13" i="20"/>
  <c r="AV12" i="20"/>
  <c r="AU12" i="20"/>
  <c r="N12" i="20"/>
  <c r="AV11" i="20"/>
  <c r="AU11" i="20"/>
  <c r="N11" i="20"/>
  <c r="N10" i="20"/>
  <c r="N9" i="20"/>
  <c r="AV8" i="20"/>
  <c r="AU8" i="20"/>
  <c r="N8" i="20"/>
  <c r="AV7" i="20"/>
  <c r="AU7" i="20"/>
  <c r="N7" i="20"/>
  <c r="AV6" i="20"/>
  <c r="AU6" i="20"/>
  <c r="N6" i="20"/>
  <c r="N5" i="20"/>
  <c r="AV3" i="20"/>
  <c r="Q1" i="20" s="1"/>
  <c r="N5" i="19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AV3" i="19"/>
  <c r="AV6" i="19"/>
  <c r="AV50" i="19"/>
  <c r="AU50" i="19"/>
  <c r="AV49" i="19"/>
  <c r="AU49" i="19"/>
  <c r="N49" i="19"/>
  <c r="AV48" i="19"/>
  <c r="AU48" i="19"/>
  <c r="N48" i="19"/>
  <c r="AV47" i="19"/>
  <c r="AU47" i="19"/>
  <c r="N47" i="19"/>
  <c r="AV46" i="19"/>
  <c r="AU46" i="19"/>
  <c r="N46" i="19"/>
  <c r="AV45" i="19"/>
  <c r="AU45" i="19"/>
  <c r="N45" i="19"/>
  <c r="AV44" i="19"/>
  <c r="AU44" i="19"/>
  <c r="N44" i="19"/>
  <c r="AV43" i="19"/>
  <c r="AU43" i="19"/>
  <c r="N43" i="19"/>
  <c r="AV42" i="19"/>
  <c r="AU42" i="19"/>
  <c r="N42" i="19"/>
  <c r="AV41" i="19"/>
  <c r="AU41" i="19"/>
  <c r="N41" i="19"/>
  <c r="AV40" i="19"/>
  <c r="AU40" i="19"/>
  <c r="N40" i="19"/>
  <c r="AV39" i="19"/>
  <c r="AU39" i="19"/>
  <c r="N39" i="19"/>
  <c r="AV38" i="19"/>
  <c r="AU38" i="19"/>
  <c r="N38" i="19"/>
  <c r="AV37" i="19"/>
  <c r="AU37" i="19"/>
  <c r="N37" i="19"/>
  <c r="AV36" i="19"/>
  <c r="AU36" i="19"/>
  <c r="N36" i="19"/>
  <c r="AV35" i="19"/>
  <c r="AU35" i="19"/>
  <c r="N35" i="19"/>
  <c r="AV34" i="19"/>
  <c r="AU34" i="19"/>
  <c r="N34" i="19"/>
  <c r="AV33" i="19"/>
  <c r="AU33" i="19"/>
  <c r="N33" i="19"/>
  <c r="AV32" i="19"/>
  <c r="AU32" i="19"/>
  <c r="N32" i="19"/>
  <c r="AV31" i="19"/>
  <c r="AU31" i="19"/>
  <c r="N31" i="19"/>
  <c r="AV30" i="19"/>
  <c r="AU30" i="19"/>
  <c r="N30" i="19"/>
  <c r="AV29" i="19"/>
  <c r="AU29" i="19"/>
  <c r="N29" i="19"/>
  <c r="AV28" i="19"/>
  <c r="AU28" i="19"/>
  <c r="N28" i="19"/>
  <c r="AV27" i="19"/>
  <c r="AU27" i="19"/>
  <c r="N27" i="19"/>
  <c r="AV26" i="19"/>
  <c r="AU26" i="19"/>
  <c r="N26" i="19"/>
  <c r="AV25" i="19"/>
  <c r="AU25" i="19"/>
  <c r="N25" i="19"/>
  <c r="AV24" i="19"/>
  <c r="AU24" i="19"/>
  <c r="N24" i="19"/>
  <c r="AV23" i="19"/>
  <c r="AU23" i="19"/>
  <c r="N23" i="19"/>
  <c r="AV22" i="19"/>
  <c r="AU22" i="19"/>
  <c r="N22" i="19"/>
  <c r="AV21" i="19"/>
  <c r="AU21" i="19"/>
  <c r="N21" i="19"/>
  <c r="AV20" i="19"/>
  <c r="AU20" i="19"/>
  <c r="N20" i="19"/>
  <c r="AV19" i="19"/>
  <c r="AU19" i="19"/>
  <c r="N19" i="19"/>
  <c r="AV18" i="19"/>
  <c r="AU18" i="19"/>
  <c r="N18" i="19"/>
  <c r="AV17" i="19"/>
  <c r="AU17" i="19"/>
  <c r="N17" i="19"/>
  <c r="N16" i="19"/>
  <c r="AV15" i="19"/>
  <c r="AU15" i="19"/>
  <c r="N15" i="19"/>
  <c r="AV14" i="19"/>
  <c r="AU14" i="19"/>
  <c r="N14" i="19"/>
  <c r="AV13" i="19"/>
  <c r="AU13" i="19"/>
  <c r="N13" i="19"/>
  <c r="AV12" i="19"/>
  <c r="AU12" i="19"/>
  <c r="N12" i="19"/>
  <c r="AV11" i="19"/>
  <c r="AU11" i="19"/>
  <c r="N11" i="19"/>
  <c r="N10" i="19"/>
  <c r="N9" i="19"/>
  <c r="AV8" i="19"/>
  <c r="AU8" i="19"/>
  <c r="N8" i="19"/>
  <c r="AV7" i="19"/>
  <c r="AU7" i="19"/>
  <c r="N7" i="19"/>
  <c r="AU6" i="19"/>
  <c r="N6" i="19"/>
  <c r="B16" i="15" l="1"/>
  <c r="G2" i="17"/>
  <c r="Q1" i="19"/>
  <c r="B15" i="12"/>
  <c r="N15" i="12" s="1"/>
  <c r="C15" i="12"/>
  <c r="D15" i="12"/>
  <c r="E15" i="12"/>
  <c r="F15" i="12"/>
  <c r="G15" i="12"/>
  <c r="H15" i="12"/>
  <c r="I15" i="12"/>
  <c r="J15" i="12"/>
  <c r="K15" i="12"/>
  <c r="L15" i="12"/>
  <c r="M15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10" i="12"/>
  <c r="N9" i="12"/>
  <c r="N8" i="12"/>
  <c r="N7" i="12"/>
  <c r="N6" i="12"/>
  <c r="N5" i="12"/>
  <c r="M15" i="11"/>
  <c r="L15" i="11"/>
  <c r="K15" i="11"/>
  <c r="J15" i="11"/>
  <c r="I15" i="11"/>
  <c r="H15" i="11"/>
  <c r="G15" i="11"/>
  <c r="F15" i="11"/>
  <c r="E15" i="11"/>
  <c r="D15" i="11"/>
  <c r="C15" i="11"/>
  <c r="B15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4" i="11"/>
  <c r="N13" i="11"/>
  <c r="N12" i="11"/>
  <c r="N11" i="11"/>
  <c r="N10" i="11"/>
  <c r="N9" i="11"/>
  <c r="N8" i="11"/>
  <c r="N7" i="11"/>
  <c r="N6" i="11"/>
  <c r="N5" i="11"/>
  <c r="M15" i="10"/>
  <c r="L15" i="10"/>
  <c r="K15" i="10"/>
  <c r="J15" i="10"/>
  <c r="I15" i="10"/>
  <c r="H15" i="10"/>
  <c r="E15" i="10"/>
  <c r="G15" i="10"/>
  <c r="F15" i="10"/>
  <c r="D15" i="10"/>
  <c r="C15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B15" i="10"/>
  <c r="N14" i="10"/>
  <c r="N13" i="10"/>
  <c r="N12" i="10"/>
  <c r="N11" i="10"/>
  <c r="N10" i="10"/>
  <c r="N9" i="10"/>
  <c r="N8" i="10"/>
  <c r="N7" i="10"/>
  <c r="N6" i="10"/>
  <c r="N5" i="10"/>
  <c r="M15" i="9"/>
  <c r="L15" i="9"/>
  <c r="K15" i="9"/>
  <c r="J15" i="9"/>
  <c r="I15" i="9"/>
  <c r="H15" i="9"/>
  <c r="G15" i="9"/>
  <c r="F15" i="9"/>
  <c r="E15" i="9"/>
  <c r="D15" i="9"/>
  <c r="C15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B15" i="9"/>
  <c r="N14" i="9"/>
  <c r="N13" i="9"/>
  <c r="N12" i="9"/>
  <c r="N11" i="9"/>
  <c r="N10" i="9"/>
  <c r="N9" i="9"/>
  <c r="N8" i="9"/>
  <c r="N7" i="9"/>
  <c r="N6" i="9"/>
  <c r="N5" i="9"/>
  <c r="M15" i="8"/>
  <c r="L15" i="8"/>
  <c r="K15" i="8"/>
  <c r="J15" i="8"/>
  <c r="I15" i="8"/>
  <c r="H15" i="8"/>
  <c r="G15" i="8"/>
  <c r="F15" i="8"/>
  <c r="E15" i="8"/>
  <c r="C15" i="7"/>
  <c r="D15" i="7"/>
  <c r="E15" i="7"/>
  <c r="F15" i="7"/>
  <c r="G15" i="7"/>
  <c r="H15" i="7"/>
  <c r="I15" i="7"/>
  <c r="J15" i="7"/>
  <c r="K15" i="7"/>
  <c r="L15" i="7"/>
  <c r="M15" i="7"/>
  <c r="D15" i="8"/>
  <c r="C15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B15" i="8"/>
  <c r="N14" i="8"/>
  <c r="N13" i="8"/>
  <c r="N12" i="8"/>
  <c r="N11" i="8"/>
  <c r="N10" i="8"/>
  <c r="N9" i="8"/>
  <c r="N8" i="8"/>
  <c r="N7" i="8"/>
  <c r="N6" i="8"/>
  <c r="N5" i="8"/>
  <c r="N15" i="6"/>
  <c r="B15" i="7"/>
  <c r="N15" i="7" s="1"/>
  <c r="N6" i="7"/>
  <c r="N12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4" i="7"/>
  <c r="N13" i="7"/>
  <c r="N11" i="7"/>
  <c r="N10" i="7"/>
  <c r="N9" i="7"/>
  <c r="N8" i="7"/>
  <c r="N7" i="7"/>
  <c r="N5" i="7"/>
  <c r="N15" i="5"/>
  <c r="N5" i="6"/>
  <c r="N6" i="6"/>
  <c r="N7" i="6"/>
  <c r="N8" i="6"/>
  <c r="N9" i="6"/>
  <c r="N10" i="6"/>
  <c r="N11" i="6"/>
  <c r="N12" i="6"/>
  <c r="N13" i="6"/>
  <c r="N14" i="6"/>
  <c r="N10" i="4"/>
  <c r="N12" i="4"/>
  <c r="N5" i="4"/>
  <c r="N6" i="1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2" i="5"/>
  <c r="N14" i="5"/>
  <c r="N9" i="5"/>
  <c r="N7" i="5"/>
  <c r="N5" i="5"/>
  <c r="N6" i="5"/>
  <c r="N8" i="5"/>
  <c r="N10" i="5"/>
  <c r="N11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6" i="4"/>
  <c r="N7" i="4"/>
  <c r="N8" i="4"/>
  <c r="N9" i="4"/>
  <c r="N11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" i="1"/>
  <c r="N12" i="1" s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15" i="8" l="1"/>
  <c r="N15" i="9"/>
  <c r="N15" i="10"/>
  <c r="N15" i="11"/>
</calcChain>
</file>

<file path=xl/sharedStrings.xml><?xml version="1.0" encoding="utf-8"?>
<sst xmlns="http://schemas.openxmlformats.org/spreadsheetml/2006/main" count="722" uniqueCount="66">
  <si>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</si>
  <si>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</si>
  <si>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</si>
  <si>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</si>
  <si>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</si>
  <si>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</si>
  <si>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</si>
  <si>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</si>
  <si>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</si>
  <si>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</si>
  <si>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</si>
  <si>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</si>
  <si>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</si>
  <si>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</si>
  <si>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</si>
  <si>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</si>
  <si>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</si>
  <si>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</si>
  <si>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</si>
  <si>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</si>
  <si>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</si>
  <si>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</si>
  <si>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</si>
  <si>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</si>
  <si>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</si>
  <si>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</si>
  <si>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</si>
  <si>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</si>
  <si>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</si>
  <si>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</si>
  <si>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</si>
  <si>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</si>
  <si>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</si>
  <si>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</si>
  <si>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</si>
  <si>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</si>
  <si>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</si>
  <si>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</si>
  <si>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</si>
  <si>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</si>
  <si>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</si>
  <si>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</si>
  <si>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</si>
  <si>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</si>
  <si>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</si>
  <si>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</si>
  <si>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</si>
  <si>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</si>
  <si>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</si>
  <si>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</si>
  <si>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</si>
  <si>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</si>
  <si>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</si>
  <si>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</si>
  <si>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</si>
  <si>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</si>
  <si>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</si>
  <si>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</si>
  <si>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</si>
  <si>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</si>
  <si>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Otros combustibles para uso marítimo</t>
  </si>
  <si>
    <t>Acumulado 2024</t>
  </si>
  <si>
    <t>MOVIMIENTO DE CRUDOS Y OBTENCIÓN DE PRODUCTOS PETROLÍFEROS - AÑO 2024- EVOLUCIÓN MENSUAL</t>
  </si>
  <si>
    <t>Acumulado 2025</t>
  </si>
  <si>
    <t>MOVIMIENTO DE CRUDOS Y OBTENCIÓN DE PRODUCTOS PETROLÍFEROS - AÑO 2025- EVOLUCIÓN MENSUAL</t>
  </si>
  <si>
    <t>Información provisional elaborada a partir de la información disponible a fecha 27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</si>
</sst>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97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19" fillId="0" borderId="0" xfId="0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3" fontId="3" fillId="0" borderId="0" xfId="0" applyNumberFormat="1" applyFont="1"/>
    <xf numFmtId="168" fontId="3" fillId="0" borderId="0" xfId="0" applyNumberFormat="1" applyFont="1"/>
    <xf numFmtId="0" fontId="26" fillId="0" borderId="0" xfId="4" applyFont="1"/>
    <xf numFmtId="17" fontId="7" fillId="2" borderId="15" xfId="0" applyNumberFormat="1" applyFont="1" applyFill="1" applyBorder="1" applyAlignment="1">
      <alignment vertical="center"/>
    </xf>
    <xf numFmtId="17" fontId="7" fillId="2" borderId="16" xfId="0" applyNumberFormat="1" applyFont="1" applyFill="1" applyBorder="1" applyAlignment="1">
      <alignment vertical="center"/>
    </xf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'2024'!$B$5:$M$5</c:f>
              <c:numCache>
                <c:formatCode>#,##0</c:formatCode>
                <c:ptCount val="12"/>
                <c:pt idx="0">
                  <c:v>0</c:v>
                </c:pt>
                <c:pt idx="1">
                  <c:v>7.5999999999999998E-2</c:v>
                </c:pt>
                <c:pt idx="2">
                  <c:v>3.5999999999999997E-2</c:v>
                </c:pt>
                <c:pt idx="3">
                  <c:v>5.1999999999999998E-2</c:v>
                </c:pt>
                <c:pt idx="4">
                  <c:v>6.9000000000000006E-2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0.121</c:v>
                </c:pt>
                <c:pt idx="10">
                  <c:v>2.1999999999999999E-2</c:v>
                </c:pt>
                <c:pt idx="11">
                  <c:v>0.223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4B8-A57A-A1FF53A8C8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60-44AE-8C37-ABDB2050B8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'2024'!$B$6:$M$6</c:f>
              <c:numCache>
                <c:formatCode>#,##0</c:formatCode>
                <c:ptCount val="12"/>
                <c:pt idx="0">
                  <c:v>6240.1289999999999</c:v>
                </c:pt>
                <c:pt idx="1">
                  <c:v>5087.451</c:v>
                </c:pt>
                <c:pt idx="2">
                  <c:v>5060.8040000000001</c:v>
                </c:pt>
                <c:pt idx="3">
                  <c:v>6008.4449999999997</c:v>
                </c:pt>
                <c:pt idx="4">
                  <c:v>5922.1580000000004</c:v>
                </c:pt>
                <c:pt idx="5">
                  <c:v>5076.2169999999996</c:v>
                </c:pt>
                <c:pt idx="6">
                  <c:v>4951.8909999999996</c:v>
                </c:pt>
                <c:pt idx="7">
                  <c:v>5766.31</c:v>
                </c:pt>
                <c:pt idx="8">
                  <c:v>4670.3940000000002</c:v>
                </c:pt>
                <c:pt idx="9">
                  <c:v>4962.3389999999999</c:v>
                </c:pt>
                <c:pt idx="10">
                  <c:v>5467.8580000000002</c:v>
                </c:pt>
                <c:pt idx="11">
                  <c:v>5234.32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4AE-8C37-ABDB2050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F-4FCC-B504-1EA2D6C716CA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F-4FCC-B504-1EA2D6C716CA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F-4FCC-B504-1EA2D6C716CA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'2024'!$B$7:$M$7</c:f>
              <c:numCache>
                <c:formatCode>#,##0</c:formatCode>
                <c:ptCount val="12"/>
                <c:pt idx="0">
                  <c:v>120.79399999999987</c:v>
                </c:pt>
                <c:pt idx="1">
                  <c:v>16.909999999999854</c:v>
                </c:pt>
                <c:pt idx="2">
                  <c:v>-95.347999999999956</c:v>
                </c:pt>
                <c:pt idx="3">
                  <c:v>73.523000000000138</c:v>
                </c:pt>
                <c:pt idx="4">
                  <c:v>25.162999999999556</c:v>
                </c:pt>
                <c:pt idx="5">
                  <c:v>-117.7579999999989</c:v>
                </c:pt>
                <c:pt idx="6">
                  <c:v>81.727000000000771</c:v>
                </c:pt>
                <c:pt idx="7">
                  <c:v>93.736999999999171</c:v>
                </c:pt>
                <c:pt idx="8">
                  <c:v>-144.60600000000068</c:v>
                </c:pt>
                <c:pt idx="9">
                  <c:v>67.46100000000024</c:v>
                </c:pt>
                <c:pt idx="10">
                  <c:v>-2.4160000000001673</c:v>
                </c:pt>
                <c:pt idx="11">
                  <c:v>-7.6350000000002183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F-4FCC-B504-1EA2D6C716CA}"/>
            </c:ext>
          </c:extLst>
        </c:ser>
        <c:ser>
          <c:idx val="1"/>
          <c:order val="1"/>
          <c:tx>
            <c:strRef>
              <c:f>'2024'!$A$8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F-4FCC-B504-1EA2D6C716CA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F-4FCC-B504-1EA2D6C716CA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F-4FCC-B504-1EA2D6C716CA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'2024'!$B$8:$M$8</c:f>
              <c:numCache>
                <c:formatCode>#,##0</c:formatCode>
                <c:ptCount val="12"/>
                <c:pt idx="0">
                  <c:v>518.52800000000002</c:v>
                </c:pt>
                <c:pt idx="1">
                  <c:v>-393.85</c:v>
                </c:pt>
                <c:pt idx="2">
                  <c:v>-256.63900000000001</c:v>
                </c:pt>
                <c:pt idx="3">
                  <c:v>769.74</c:v>
                </c:pt>
                <c:pt idx="4">
                  <c:v>38.106999999999999</c:v>
                </c:pt>
                <c:pt idx="5">
                  <c:v>37.000999999999998</c:v>
                </c:pt>
                <c:pt idx="6">
                  <c:v>-476.55399999999997</c:v>
                </c:pt>
                <c:pt idx="7">
                  <c:v>276.88</c:v>
                </c:pt>
                <c:pt idx="8">
                  <c:v>-344.17</c:v>
                </c:pt>
                <c:pt idx="9">
                  <c:v>-299.13099999999997</c:v>
                </c:pt>
                <c:pt idx="10">
                  <c:v>389.70400000000001</c:v>
                </c:pt>
                <c:pt idx="11">
                  <c:v>-7.3010000000000002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BF-4FCC-B504-1EA2D6C716CA}"/>
            </c:ext>
          </c:extLst>
        </c:ser>
        <c:ser>
          <c:idx val="2"/>
          <c:order val="2"/>
          <c:tx>
            <c:strRef>
              <c:f>'2024'!$A$9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F-4FCC-B504-1EA2D6C716CA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F-4FCC-B504-1EA2D6C716CA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F-4FCC-B504-1EA2D6C716CA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F-4FCC-B504-1EA2D6C716CA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'2024'!$B$9:$M$9</c:f>
              <c:numCache>
                <c:formatCode>#,##0</c:formatCode>
                <c:ptCount val="12"/>
                <c:pt idx="0">
                  <c:v>149.529</c:v>
                </c:pt>
                <c:pt idx="1">
                  <c:v>33.624000000000024</c:v>
                </c:pt>
                <c:pt idx="2">
                  <c:v>-72.738999999999976</c:v>
                </c:pt>
                <c:pt idx="3">
                  <c:v>124.71199999999999</c:v>
                </c:pt>
                <c:pt idx="4">
                  <c:v>8.1450000000000031</c:v>
                </c:pt>
                <c:pt idx="5">
                  <c:v>-61.539000000000001</c:v>
                </c:pt>
                <c:pt idx="6">
                  <c:v>-38.465000000000032</c:v>
                </c:pt>
                <c:pt idx="7">
                  <c:v>31.04000000000002</c:v>
                </c:pt>
                <c:pt idx="8">
                  <c:v>-168.59300000000002</c:v>
                </c:pt>
                <c:pt idx="9">
                  <c:v>121.61899999999997</c:v>
                </c:pt>
                <c:pt idx="10">
                  <c:v>40.543000000000006</c:v>
                </c:pt>
                <c:pt idx="11">
                  <c:v>-196.66900000000001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BF-4FCC-B504-1EA2D6C716CA}"/>
            </c:ext>
          </c:extLst>
        </c:ser>
        <c:ser>
          <c:idx val="3"/>
          <c:order val="3"/>
          <c:tx>
            <c:strRef>
              <c:f>'2024'!$A$10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F-4FCC-B504-1EA2D6C716CA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'2024'!$B$10:$M$10</c:f>
              <c:numCache>
                <c:formatCode>#,##0</c:formatCode>
                <c:ptCount val="12"/>
                <c:pt idx="0">
                  <c:v>43.488</c:v>
                </c:pt>
                <c:pt idx="1">
                  <c:v>22.417999999999999</c:v>
                </c:pt>
                <c:pt idx="2">
                  <c:v>30.14</c:v>
                </c:pt>
                <c:pt idx="3">
                  <c:v>55.326999999999998</c:v>
                </c:pt>
                <c:pt idx="4">
                  <c:v>27.544999999999998</c:v>
                </c:pt>
                <c:pt idx="5">
                  <c:v>88.7</c:v>
                </c:pt>
                <c:pt idx="6">
                  <c:v>48.823999999999998</c:v>
                </c:pt>
                <c:pt idx="7">
                  <c:v>19.875</c:v>
                </c:pt>
                <c:pt idx="8">
                  <c:v>41.548999999999999</c:v>
                </c:pt>
                <c:pt idx="9">
                  <c:v>57.52</c:v>
                </c:pt>
                <c:pt idx="10">
                  <c:v>50.742999999999995</c:v>
                </c:pt>
                <c:pt idx="11">
                  <c:v>51.342999999999996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BF-4FCC-B504-1EA2D6C716CA}"/>
            </c:ext>
          </c:extLst>
        </c:ser>
        <c:ser>
          <c:idx val="4"/>
          <c:order val="4"/>
          <c:tx>
            <c:strRef>
              <c:f>'2024'!$A$11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BF-4FCC-B504-1EA2D6C716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'2024'!$A$14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'2024'!$B$14:$M$14</c:f>
              <c:numCache>
                <c:formatCode>#,##0</c:formatCode>
                <c:ptCount val="12"/>
                <c:pt idx="0">
                  <c:v>109.16399999999976</c:v>
                </c:pt>
                <c:pt idx="1">
                  <c:v>262.67499999999836</c:v>
                </c:pt>
                <c:pt idx="2">
                  <c:v>155.60100000000057</c:v>
                </c:pt>
                <c:pt idx="3">
                  <c:v>9.2729999999992287</c:v>
                </c:pt>
                <c:pt idx="4">
                  <c:v>286.02500000000055</c:v>
                </c:pt>
                <c:pt idx="5">
                  <c:v>110.57300000000032</c:v>
                </c:pt>
                <c:pt idx="6">
                  <c:v>57.899000000000342</c:v>
                </c:pt>
                <c:pt idx="7">
                  <c:v>89.593999999999141</c:v>
                </c:pt>
                <c:pt idx="8">
                  <c:v>34.008999999998196</c:v>
                </c:pt>
                <c:pt idx="9">
                  <c:v>81.345000000000255</c:v>
                </c:pt>
                <c:pt idx="10">
                  <c:v>205.23099999999886</c:v>
                </c:pt>
                <c:pt idx="11">
                  <c:v>67.05199999999968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BD8-A84D-38A735A04BD6}"/>
            </c:ext>
          </c:extLst>
        </c:ser>
        <c:ser>
          <c:idx val="1"/>
          <c:order val="1"/>
          <c:tx>
            <c:strRef>
              <c:f>'2024'!$A$13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'2024'!$B$13:$M$13</c:f>
              <c:numCache>
                <c:formatCode>#,##0</c:formatCode>
                <c:ptCount val="12"/>
                <c:pt idx="0">
                  <c:v>5721.6009999999997</c:v>
                </c:pt>
                <c:pt idx="1">
                  <c:v>5481.3770000000004</c:v>
                </c:pt>
                <c:pt idx="2">
                  <c:v>5317.4790000000003</c:v>
                </c:pt>
                <c:pt idx="3">
                  <c:v>5238.7569999999996</c:v>
                </c:pt>
                <c:pt idx="4">
                  <c:v>5884.12</c:v>
                </c:pt>
                <c:pt idx="5">
                  <c:v>5039.2160000000003</c:v>
                </c:pt>
                <c:pt idx="6">
                  <c:v>5428.4449999999997</c:v>
                </c:pt>
                <c:pt idx="7">
                  <c:v>5489.43</c:v>
                </c:pt>
                <c:pt idx="8">
                  <c:v>5014.5640000000003</c:v>
                </c:pt>
                <c:pt idx="9">
                  <c:v>5261.5910000000003</c:v>
                </c:pt>
                <c:pt idx="10">
                  <c:v>5078.1760000000004</c:v>
                </c:pt>
                <c:pt idx="11">
                  <c:v>5241.8440000000001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'2024'!$A$12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FFB-4BD8-A84D-38A735A0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'2024'!$B$12:$M$12</c:f>
              <c:numCache>
                <c:formatCode>#,##0</c:formatCode>
                <c:ptCount val="12"/>
                <c:pt idx="0">
                  <c:v>5736.3540000000003</c:v>
                </c:pt>
                <c:pt idx="1">
                  <c:v>5487.0810000000001</c:v>
                </c:pt>
                <c:pt idx="2">
                  <c:v>5325.01</c:v>
                </c:pt>
                <c:pt idx="3">
                  <c:v>5242.8949999999995</c:v>
                </c:pt>
                <c:pt idx="4">
                  <c:v>5928.683</c:v>
                </c:pt>
                <c:pt idx="5">
                  <c:v>5071.6970000000001</c:v>
                </c:pt>
                <c:pt idx="6">
                  <c:v>5597.4610000000002</c:v>
                </c:pt>
                <c:pt idx="7">
                  <c:v>5572.0019999999995</c:v>
                </c:pt>
                <c:pt idx="8">
                  <c:v>5080.0999999999995</c:v>
                </c:pt>
                <c:pt idx="9">
                  <c:v>5264.9530000000013</c:v>
                </c:pt>
                <c:pt idx="10">
                  <c:v>5085.9600000000009</c:v>
                </c:pt>
                <c:pt idx="11">
                  <c:v>5482.2209999999995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79-441E-9537-95CEB45EB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79-441E-9537-95CEB45EB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79-441E-9537-95CEB45EB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79-441E-9537-95CEB45EB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79-441E-9537-95CEB45EB80A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9-441E-9537-95CEB45EB80A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9-441E-9537-95CEB45EB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'2024'!$B$18:$M$18</c:f>
              <c:numCache>
                <c:formatCode>#,##0</c:formatCode>
                <c:ptCount val="12"/>
                <c:pt idx="0">
                  <c:v>108.21899999999999</c:v>
                </c:pt>
                <c:pt idx="1">
                  <c:v>98.212999999999994</c:v>
                </c:pt>
                <c:pt idx="2">
                  <c:v>102.102</c:v>
                </c:pt>
                <c:pt idx="3">
                  <c:v>82.632000000000005</c:v>
                </c:pt>
                <c:pt idx="4">
                  <c:v>86.841999999999999</c:v>
                </c:pt>
                <c:pt idx="5">
                  <c:v>74.088999999999999</c:v>
                </c:pt>
                <c:pt idx="6">
                  <c:v>93.162000000000006</c:v>
                </c:pt>
                <c:pt idx="7">
                  <c:v>83.454999999999998</c:v>
                </c:pt>
                <c:pt idx="8">
                  <c:v>83.688000000000002</c:v>
                </c:pt>
                <c:pt idx="9">
                  <c:v>88.281000000000006</c:v>
                </c:pt>
                <c:pt idx="10">
                  <c:v>98.222999999999999</c:v>
                </c:pt>
                <c:pt idx="11">
                  <c:v>115.131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9-441E-9537-95CEB45EB80A}"/>
            </c:ext>
          </c:extLst>
        </c:ser>
        <c:ser>
          <c:idx val="1"/>
          <c:order val="1"/>
          <c:tx>
            <c:strRef>
              <c:f>'2024'!$A$19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'2024'!$B$19:$M$19</c:f>
              <c:numCache>
                <c:formatCode>#,##0</c:formatCode>
                <c:ptCount val="12"/>
                <c:pt idx="0">
                  <c:v>25.813999999999993</c:v>
                </c:pt>
                <c:pt idx="1">
                  <c:v>15.995000000000005</c:v>
                </c:pt>
                <c:pt idx="2">
                  <c:v>2.8889999999999958</c:v>
                </c:pt>
                <c:pt idx="3">
                  <c:v>8.0939999999999941</c:v>
                </c:pt>
                <c:pt idx="4">
                  <c:v>0</c:v>
                </c:pt>
                <c:pt idx="5">
                  <c:v>0.72100000000000364</c:v>
                </c:pt>
                <c:pt idx="6">
                  <c:v>18.920999999999992</c:v>
                </c:pt>
                <c:pt idx="7">
                  <c:v>1.4039999999999964</c:v>
                </c:pt>
                <c:pt idx="8">
                  <c:v>0</c:v>
                </c:pt>
                <c:pt idx="9">
                  <c:v>26.23899999999999</c:v>
                </c:pt>
                <c:pt idx="10">
                  <c:v>13.198999999999998</c:v>
                </c:pt>
                <c:pt idx="11">
                  <c:v>25.479000000000013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79-441E-9537-95CEB45EB80A}"/>
            </c:ext>
          </c:extLst>
        </c:ser>
        <c:ser>
          <c:idx val="2"/>
          <c:order val="2"/>
          <c:tx>
            <c:strRef>
              <c:f>'2024'!$A$17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9-441E-9537-95CEB45EB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'2024'!$B$20:$M$20</c:f>
              <c:numCache>
                <c:formatCode>#,##0</c:formatCode>
                <c:ptCount val="12"/>
                <c:pt idx="0">
                  <c:v>151.98500000000001</c:v>
                </c:pt>
                <c:pt idx="1">
                  <c:v>150.405</c:v>
                </c:pt>
                <c:pt idx="2">
                  <c:v>125.714</c:v>
                </c:pt>
                <c:pt idx="3">
                  <c:v>152.62799999999999</c:v>
                </c:pt>
                <c:pt idx="4">
                  <c:v>162.30500000000001</c:v>
                </c:pt>
                <c:pt idx="5">
                  <c:v>137.31100000000001</c:v>
                </c:pt>
                <c:pt idx="6">
                  <c:v>142.62</c:v>
                </c:pt>
                <c:pt idx="7">
                  <c:v>157.625</c:v>
                </c:pt>
                <c:pt idx="8">
                  <c:v>132.96299999999999</c:v>
                </c:pt>
                <c:pt idx="9">
                  <c:v>138.797</c:v>
                </c:pt>
                <c:pt idx="10">
                  <c:v>111.91200000000001</c:v>
                </c:pt>
                <c:pt idx="11">
                  <c:v>164.97399999999999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9-418C-B9B7-45BB1177A3FA}"/>
            </c:ext>
          </c:extLst>
        </c:ser>
        <c:ser>
          <c:idx val="1"/>
          <c:order val="1"/>
          <c:tx>
            <c:strRef>
              <c:f>'2024'!$A$21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18C-B9B7-45BB1177A3FA}"/>
            </c:ext>
          </c:extLst>
        </c:ser>
        <c:ser>
          <c:idx val="2"/>
          <c:order val="2"/>
          <c:tx>
            <c:strRef>
              <c:f>'2024'!$A$22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'2024'!$B$22:$M$22</c:f>
              <c:numCache>
                <c:formatCode>#,##0</c:formatCode>
                <c:ptCount val="12"/>
                <c:pt idx="0">
                  <c:v>104.45099999999999</c:v>
                </c:pt>
                <c:pt idx="1">
                  <c:v>100.797</c:v>
                </c:pt>
                <c:pt idx="2">
                  <c:v>107.002</c:v>
                </c:pt>
                <c:pt idx="3">
                  <c:v>102.251</c:v>
                </c:pt>
                <c:pt idx="4">
                  <c:v>104.72499999999999</c:v>
                </c:pt>
                <c:pt idx="5">
                  <c:v>95.748999999999995</c:v>
                </c:pt>
                <c:pt idx="6">
                  <c:v>79.078999999999994</c:v>
                </c:pt>
                <c:pt idx="7">
                  <c:v>65.63</c:v>
                </c:pt>
                <c:pt idx="8">
                  <c:v>90.228999999999999</c:v>
                </c:pt>
                <c:pt idx="9">
                  <c:v>87.45</c:v>
                </c:pt>
                <c:pt idx="10">
                  <c:v>103.256</c:v>
                </c:pt>
                <c:pt idx="11">
                  <c:v>97.415000000000006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9-418C-B9B7-45BB1177A3FA}"/>
            </c:ext>
          </c:extLst>
        </c:ser>
        <c:ser>
          <c:idx val="3"/>
          <c:order val="3"/>
          <c:tx>
            <c:strRef>
              <c:f>'2024'!$A$23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'2024'!$B$23:$M$23</c:f>
              <c:numCache>
                <c:formatCode>#,##0</c:formatCode>
                <c:ptCount val="12"/>
                <c:pt idx="0">
                  <c:v>4.3689999999999998</c:v>
                </c:pt>
                <c:pt idx="1">
                  <c:v>10.430999999999999</c:v>
                </c:pt>
                <c:pt idx="2">
                  <c:v>6.8049999999999997</c:v>
                </c:pt>
                <c:pt idx="3">
                  <c:v>8.7070000000000007</c:v>
                </c:pt>
                <c:pt idx="4">
                  <c:v>13.742000000000001</c:v>
                </c:pt>
                <c:pt idx="5">
                  <c:v>10.093999999999999</c:v>
                </c:pt>
                <c:pt idx="6">
                  <c:v>7.5359999999999996</c:v>
                </c:pt>
                <c:pt idx="7">
                  <c:v>4.6150000000000002</c:v>
                </c:pt>
                <c:pt idx="8">
                  <c:v>12.417</c:v>
                </c:pt>
                <c:pt idx="9">
                  <c:v>6.4210000000000003</c:v>
                </c:pt>
                <c:pt idx="10">
                  <c:v>4.7949999999999999</c:v>
                </c:pt>
                <c:pt idx="11">
                  <c:v>5.5869999999999997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9-418C-B9B7-45BB1177A3FA}"/>
            </c:ext>
          </c:extLst>
        </c:ser>
        <c:ser>
          <c:idx val="4"/>
          <c:order val="4"/>
          <c:tx>
            <c:strRef>
              <c:f>'2024'!$A$24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9-418C-B9B7-45BB1177A3FA}"/>
            </c:ext>
          </c:extLst>
        </c:ser>
        <c:ser>
          <c:idx val="5"/>
          <c:order val="5"/>
          <c:tx>
            <c:strRef>
              <c:f>'2024'!$A$25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'2024'!$B$25:$M$25</c:f>
              <c:numCache>
                <c:formatCode>#,##0</c:formatCode>
                <c:ptCount val="12"/>
                <c:pt idx="0">
                  <c:v>746.77500000000009</c:v>
                </c:pt>
                <c:pt idx="1">
                  <c:v>593.98899999999992</c:v>
                </c:pt>
                <c:pt idx="2">
                  <c:v>650.19499999999994</c:v>
                </c:pt>
                <c:pt idx="3">
                  <c:v>724.36799999999994</c:v>
                </c:pt>
                <c:pt idx="4">
                  <c:v>757.63400000000001</c:v>
                </c:pt>
                <c:pt idx="5">
                  <c:v>648.99199999999996</c:v>
                </c:pt>
                <c:pt idx="6">
                  <c:v>799.53599999999994</c:v>
                </c:pt>
                <c:pt idx="7">
                  <c:v>795.476</c:v>
                </c:pt>
                <c:pt idx="8">
                  <c:v>722.02499999999998</c:v>
                </c:pt>
                <c:pt idx="9">
                  <c:v>670.45699999999999</c:v>
                </c:pt>
                <c:pt idx="10">
                  <c:v>674.23</c:v>
                </c:pt>
                <c:pt idx="11">
                  <c:v>743.75700000000006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9-418C-B9B7-45BB1177A3FA}"/>
            </c:ext>
          </c:extLst>
        </c:ser>
        <c:ser>
          <c:idx val="6"/>
          <c:order val="6"/>
          <c:tx>
            <c:strRef>
              <c:f>'2024'!$A$27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9-418C-B9B7-45BB1177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'2024'!$B$28:$M$28</c:f>
              <c:numCache>
                <c:formatCode>#,##0</c:formatCode>
                <c:ptCount val="12"/>
                <c:pt idx="0">
                  <c:v>51.722999999999999</c:v>
                </c:pt>
                <c:pt idx="1">
                  <c:v>47.917000000000002</c:v>
                </c:pt>
                <c:pt idx="2">
                  <c:v>45.72</c:v>
                </c:pt>
                <c:pt idx="3">
                  <c:v>40.491</c:v>
                </c:pt>
                <c:pt idx="4">
                  <c:v>40.094000000000001</c:v>
                </c:pt>
                <c:pt idx="5">
                  <c:v>39.798999999999999</c:v>
                </c:pt>
                <c:pt idx="6">
                  <c:v>41.496000000000002</c:v>
                </c:pt>
                <c:pt idx="7">
                  <c:v>35.677</c:v>
                </c:pt>
                <c:pt idx="8">
                  <c:v>50.930999999999997</c:v>
                </c:pt>
                <c:pt idx="9">
                  <c:v>49.314999999999998</c:v>
                </c:pt>
                <c:pt idx="10">
                  <c:v>45.402000000000001</c:v>
                </c:pt>
                <c:pt idx="11">
                  <c:v>47.030999999999999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2-42A2-916D-71D1BABE954D}"/>
            </c:ext>
          </c:extLst>
        </c:ser>
        <c:ser>
          <c:idx val="1"/>
          <c:order val="1"/>
          <c:tx>
            <c:strRef>
              <c:f>'2024'!$A$29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2-42A2-916D-71D1BABE954D}"/>
            </c:ext>
          </c:extLst>
        </c:ser>
        <c:ser>
          <c:idx val="2"/>
          <c:order val="2"/>
          <c:tx>
            <c:strRef>
              <c:f>'2024'!$A$30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'2024'!$B$30:$M$30</c:f>
              <c:numCache>
                <c:formatCode>#,##0</c:formatCode>
                <c:ptCount val="12"/>
                <c:pt idx="0">
                  <c:v>895.24099999999999</c:v>
                </c:pt>
                <c:pt idx="1">
                  <c:v>847.84</c:v>
                </c:pt>
                <c:pt idx="2">
                  <c:v>801.21</c:v>
                </c:pt>
                <c:pt idx="3">
                  <c:v>767.08299999999997</c:v>
                </c:pt>
                <c:pt idx="4">
                  <c:v>891.09799999999996</c:v>
                </c:pt>
                <c:pt idx="5">
                  <c:v>791.65700000000004</c:v>
                </c:pt>
                <c:pt idx="6">
                  <c:v>862.50699999999995</c:v>
                </c:pt>
                <c:pt idx="7">
                  <c:v>850.21199999999999</c:v>
                </c:pt>
                <c:pt idx="8">
                  <c:v>766.79899999999998</c:v>
                </c:pt>
                <c:pt idx="9">
                  <c:v>846.28200000000004</c:v>
                </c:pt>
                <c:pt idx="10">
                  <c:v>736.69100000000003</c:v>
                </c:pt>
                <c:pt idx="11">
                  <c:v>784.56600000000003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2A2-916D-71D1BABE9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3-420F-9647-F9C89A5D104C}"/>
            </c:ext>
          </c:extLst>
        </c:ser>
        <c:ser>
          <c:idx val="1"/>
          <c:order val="1"/>
          <c:tx>
            <c:strRef>
              <c:f>'2024'!$A$32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'2024'!$B$32:$M$32</c:f>
              <c:numCache>
                <c:formatCode>#,##0</c:formatCode>
                <c:ptCount val="12"/>
                <c:pt idx="0">
                  <c:v>245.779</c:v>
                </c:pt>
                <c:pt idx="1">
                  <c:v>218.411</c:v>
                </c:pt>
                <c:pt idx="2">
                  <c:v>268.529</c:v>
                </c:pt>
                <c:pt idx="3">
                  <c:v>271.846</c:v>
                </c:pt>
                <c:pt idx="4">
                  <c:v>268.11700000000002</c:v>
                </c:pt>
                <c:pt idx="5">
                  <c:v>189.79</c:v>
                </c:pt>
                <c:pt idx="6">
                  <c:v>250.96199999999999</c:v>
                </c:pt>
                <c:pt idx="7">
                  <c:v>263.01499999999999</c:v>
                </c:pt>
                <c:pt idx="8">
                  <c:v>251.733</c:v>
                </c:pt>
                <c:pt idx="9">
                  <c:v>235.096</c:v>
                </c:pt>
                <c:pt idx="10">
                  <c:v>235.828</c:v>
                </c:pt>
                <c:pt idx="11">
                  <c:v>244.75200000000001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3-420F-9647-F9C89A5D104C}"/>
            </c:ext>
          </c:extLst>
        </c:ser>
        <c:ser>
          <c:idx val="2"/>
          <c:order val="2"/>
          <c:tx>
            <c:strRef>
              <c:f>'2024'!$A$33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'2024'!$B$33:$M$33</c:f>
              <c:numCache>
                <c:formatCode>#,##0</c:formatCode>
                <c:ptCount val="12"/>
                <c:pt idx="0">
                  <c:v>35.982999999999997</c:v>
                </c:pt>
                <c:pt idx="1">
                  <c:v>46.74</c:v>
                </c:pt>
                <c:pt idx="2">
                  <c:v>23.43</c:v>
                </c:pt>
                <c:pt idx="3">
                  <c:v>27.341000000000001</c:v>
                </c:pt>
                <c:pt idx="4">
                  <c:v>34.960999999999999</c:v>
                </c:pt>
                <c:pt idx="5">
                  <c:v>22.378</c:v>
                </c:pt>
                <c:pt idx="6">
                  <c:v>28.337</c:v>
                </c:pt>
                <c:pt idx="7">
                  <c:v>19.952000000000002</c:v>
                </c:pt>
                <c:pt idx="8">
                  <c:v>21.782</c:v>
                </c:pt>
                <c:pt idx="9">
                  <c:v>27.518000000000001</c:v>
                </c:pt>
                <c:pt idx="10">
                  <c:v>39.524999999999999</c:v>
                </c:pt>
                <c:pt idx="11">
                  <c:v>38.040999999999997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3-420F-9647-F9C89A5D104C}"/>
            </c:ext>
          </c:extLst>
        </c:ser>
        <c:ser>
          <c:idx val="3"/>
          <c:order val="3"/>
          <c:tx>
            <c:strRef>
              <c:f>'2024'!$A$34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'2024'!$B$34:$M$34</c:f>
              <c:numCache>
                <c:formatCode>#,##0</c:formatCode>
                <c:ptCount val="12"/>
                <c:pt idx="0">
                  <c:v>13.041</c:v>
                </c:pt>
                <c:pt idx="1">
                  <c:v>19.974</c:v>
                </c:pt>
                <c:pt idx="2">
                  <c:v>7.0830000000000002</c:v>
                </c:pt>
                <c:pt idx="3">
                  <c:v>6.8419999999999996</c:v>
                </c:pt>
                <c:pt idx="4">
                  <c:v>7.3479999999999999</c:v>
                </c:pt>
                <c:pt idx="5">
                  <c:v>4.2850000000000001</c:v>
                </c:pt>
                <c:pt idx="6">
                  <c:v>3.3490000000000002</c:v>
                </c:pt>
                <c:pt idx="7">
                  <c:v>2.9279999999999999</c:v>
                </c:pt>
                <c:pt idx="8">
                  <c:v>4.9349999999999996</c:v>
                </c:pt>
                <c:pt idx="9">
                  <c:v>15.093999999999999</c:v>
                </c:pt>
                <c:pt idx="10">
                  <c:v>15.789</c:v>
                </c:pt>
                <c:pt idx="11">
                  <c:v>11.247999999999999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53-420F-9647-F9C89A5D104C}"/>
            </c:ext>
          </c:extLst>
        </c:ser>
        <c:ser>
          <c:idx val="4"/>
          <c:order val="4"/>
          <c:tx>
            <c:strRef>
              <c:f>'2024'!$A$35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'2024'!$B$35:$M$35</c:f>
              <c:numCache>
                <c:formatCode>#,##0</c:formatCode>
                <c:ptCount val="12"/>
                <c:pt idx="0">
                  <c:v>63.41</c:v>
                </c:pt>
                <c:pt idx="1">
                  <c:v>61.116</c:v>
                </c:pt>
                <c:pt idx="2">
                  <c:v>61.688000000000002</c:v>
                </c:pt>
                <c:pt idx="3">
                  <c:v>54.295999999999999</c:v>
                </c:pt>
                <c:pt idx="4">
                  <c:v>24.411000000000001</c:v>
                </c:pt>
                <c:pt idx="5">
                  <c:v>31.623000000000001</c:v>
                </c:pt>
                <c:pt idx="6">
                  <c:v>46.93</c:v>
                </c:pt>
                <c:pt idx="7">
                  <c:v>55.896999999999998</c:v>
                </c:pt>
                <c:pt idx="8">
                  <c:v>58.713999999999999</c:v>
                </c:pt>
                <c:pt idx="9">
                  <c:v>68.896000000000001</c:v>
                </c:pt>
                <c:pt idx="10">
                  <c:v>71.676000000000002</c:v>
                </c:pt>
                <c:pt idx="11">
                  <c:v>62.74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53-420F-9647-F9C89A5D104C}"/>
            </c:ext>
          </c:extLst>
        </c:ser>
        <c:ser>
          <c:idx val="5"/>
          <c:order val="5"/>
          <c:tx>
            <c:strRef>
              <c:f>'2024'!$A$36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3-420F-9647-F9C89A5D104C}"/>
            </c:ext>
          </c:extLst>
        </c:ser>
        <c:ser>
          <c:idx val="6"/>
          <c:order val="6"/>
          <c:tx>
            <c:strRef>
              <c:f>'2024'!$A$37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'2024'!$B$37:$M$37</c:f>
              <c:numCache>
                <c:formatCode>#,##0</c:formatCode>
                <c:ptCount val="12"/>
                <c:pt idx="0">
                  <c:v>1932.47</c:v>
                </c:pt>
                <c:pt idx="1">
                  <c:v>1785.8960000000002</c:v>
                </c:pt>
                <c:pt idx="2">
                  <c:v>1790.7059999999999</c:v>
                </c:pt>
                <c:pt idx="3">
                  <c:v>1744.5520000000001</c:v>
                </c:pt>
                <c:pt idx="4">
                  <c:v>1900.4830000000002</c:v>
                </c:pt>
                <c:pt idx="5">
                  <c:v>1689.923</c:v>
                </c:pt>
                <c:pt idx="6">
                  <c:v>1784.0399999999997</c:v>
                </c:pt>
                <c:pt idx="7">
                  <c:v>1765.1760000000002</c:v>
                </c:pt>
                <c:pt idx="8">
                  <c:v>1620.6510000000001</c:v>
                </c:pt>
                <c:pt idx="9">
                  <c:v>1733.66</c:v>
                </c:pt>
                <c:pt idx="10">
                  <c:v>1528.5329999999999</c:v>
                </c:pt>
                <c:pt idx="11">
                  <c:v>1780.252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53-420F-9647-F9C89A5D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6-41AD-A555-7BC5DFDBDBF9}"/>
            </c:ext>
          </c:extLst>
        </c:ser>
        <c:ser>
          <c:idx val="1"/>
          <c:order val="1"/>
          <c:tx>
            <c:strRef>
              <c:f>'2024'!$A$38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'2024'!$B$38:$M$38</c:f>
              <c:numCache>
                <c:formatCode>#,##0</c:formatCode>
                <c:ptCount val="12"/>
                <c:pt idx="0">
                  <c:v>8.4109999999999996</c:v>
                </c:pt>
                <c:pt idx="1">
                  <c:v>7.27</c:v>
                </c:pt>
                <c:pt idx="2">
                  <c:v>18.771000000000001</c:v>
                </c:pt>
                <c:pt idx="3">
                  <c:v>29.706</c:v>
                </c:pt>
                <c:pt idx="4">
                  <c:v>38.770000000000003</c:v>
                </c:pt>
                <c:pt idx="5">
                  <c:v>37.173000000000002</c:v>
                </c:pt>
                <c:pt idx="6">
                  <c:v>38.064</c:v>
                </c:pt>
                <c:pt idx="7">
                  <c:v>40.988</c:v>
                </c:pt>
                <c:pt idx="8">
                  <c:v>27.469000000000001</c:v>
                </c:pt>
                <c:pt idx="9">
                  <c:v>23.576000000000001</c:v>
                </c:pt>
                <c:pt idx="10">
                  <c:v>36.21</c:v>
                </c:pt>
                <c:pt idx="11">
                  <c:v>14.125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6-41AD-A555-7BC5DFDBDBF9}"/>
            </c:ext>
          </c:extLst>
        </c:ser>
        <c:ser>
          <c:idx val="2"/>
          <c:order val="2"/>
          <c:tx>
            <c:strRef>
              <c:f>'2024'!$A$39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6-41AD-A555-7BC5DFDBD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'2024'!$B$40:$M$40</c:f>
              <c:numCache>
                <c:formatCode>#,##0</c:formatCode>
                <c:ptCount val="12"/>
                <c:pt idx="0">
                  <c:v>0</c:v>
                </c:pt>
                <c:pt idx="1">
                  <c:v>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765-A493-B5B9727B508D}"/>
            </c:ext>
          </c:extLst>
        </c:ser>
        <c:ser>
          <c:idx val="1"/>
          <c:order val="1"/>
          <c:tx>
            <c:strRef>
              <c:f>'2024'!$A$41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'2024'!$B$41:$M$41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3.6320000000000001</c:v>
                </c:pt>
                <c:pt idx="3">
                  <c:v>0</c:v>
                </c:pt>
                <c:pt idx="4">
                  <c:v>1.3049999999999999</c:v>
                </c:pt>
                <c:pt idx="5">
                  <c:v>0.7</c:v>
                </c:pt>
                <c:pt idx="6">
                  <c:v>0.152</c:v>
                </c:pt>
                <c:pt idx="7">
                  <c:v>0</c:v>
                </c:pt>
                <c:pt idx="8">
                  <c:v>0</c:v>
                </c:pt>
                <c:pt idx="9">
                  <c:v>2.8000000000000001E-2</c:v>
                </c:pt>
                <c:pt idx="10">
                  <c:v>1.2E-2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765-A493-B5B9727B508D}"/>
            </c:ext>
          </c:extLst>
        </c:ser>
        <c:ser>
          <c:idx val="2"/>
          <c:order val="2"/>
          <c:tx>
            <c:strRef>
              <c:f>'2024'!$A$42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A-4765-A493-B5B9727B508D}"/>
            </c:ext>
          </c:extLst>
        </c:ser>
        <c:ser>
          <c:idx val="3"/>
          <c:order val="3"/>
          <c:tx>
            <c:strRef>
              <c:f>'2024'!$A$43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A-4765-A493-B5B9727B508D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A-4765-A493-B5B9727B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'2024'!$B$43:$M$43</c:f>
              <c:numCache>
                <c:formatCode>#,##0</c:formatCode>
                <c:ptCount val="12"/>
                <c:pt idx="0">
                  <c:v>450.274</c:v>
                </c:pt>
                <c:pt idx="1">
                  <c:v>328.14400000000001</c:v>
                </c:pt>
                <c:pt idx="2">
                  <c:v>407.99200000000002</c:v>
                </c:pt>
                <c:pt idx="3">
                  <c:v>432.93200000000002</c:v>
                </c:pt>
                <c:pt idx="4">
                  <c:v>451.30899999999997</c:v>
                </c:pt>
                <c:pt idx="5">
                  <c:v>425.28399999999999</c:v>
                </c:pt>
                <c:pt idx="6">
                  <c:v>416.22699999999998</c:v>
                </c:pt>
                <c:pt idx="7">
                  <c:v>384.89699999999999</c:v>
                </c:pt>
                <c:pt idx="8">
                  <c:v>376.89400000000001</c:v>
                </c:pt>
                <c:pt idx="9">
                  <c:v>322.41199999999998</c:v>
                </c:pt>
                <c:pt idx="10">
                  <c:v>271.10300000000001</c:v>
                </c:pt>
                <c:pt idx="11">
                  <c:v>383.76700000000005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A-4765-A493-B5B9727B5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'2024'!$B$44:$M$44</c:f>
              <c:numCache>
                <c:formatCode>#,##0</c:formatCode>
                <c:ptCount val="12"/>
                <c:pt idx="0">
                  <c:v>26.797000000000001</c:v>
                </c:pt>
                <c:pt idx="1">
                  <c:v>22.974</c:v>
                </c:pt>
                <c:pt idx="2">
                  <c:v>24.135999999999999</c:v>
                </c:pt>
                <c:pt idx="3">
                  <c:v>24.268999999999998</c:v>
                </c:pt>
                <c:pt idx="4">
                  <c:v>21.446000000000002</c:v>
                </c:pt>
                <c:pt idx="5">
                  <c:v>19.661000000000001</c:v>
                </c:pt>
                <c:pt idx="6">
                  <c:v>29.905000000000001</c:v>
                </c:pt>
                <c:pt idx="7">
                  <c:v>26.986000000000001</c:v>
                </c:pt>
                <c:pt idx="8">
                  <c:v>23.268000000000001</c:v>
                </c:pt>
                <c:pt idx="9">
                  <c:v>23.844999999999999</c:v>
                </c:pt>
                <c:pt idx="10">
                  <c:v>12.422000000000001</c:v>
                </c:pt>
                <c:pt idx="11">
                  <c:v>24.454999999999998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C48-A6C3-02C47D367978}"/>
            </c:ext>
          </c:extLst>
        </c:ser>
        <c:ser>
          <c:idx val="1"/>
          <c:order val="1"/>
          <c:tx>
            <c:strRef>
              <c:f>'2024'!$A$45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7-4C48-A6C3-02C47D367978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7-4C48-A6C3-02C47D367978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'2024'!$B$45:$M$45</c:f>
              <c:numCache>
                <c:formatCode>#,##0</c:formatCode>
                <c:ptCount val="12"/>
                <c:pt idx="0">
                  <c:v>120.874</c:v>
                </c:pt>
                <c:pt idx="1">
                  <c:v>138.21100000000001</c:v>
                </c:pt>
                <c:pt idx="2">
                  <c:v>163.62700000000001</c:v>
                </c:pt>
                <c:pt idx="3">
                  <c:v>177.46</c:v>
                </c:pt>
                <c:pt idx="4">
                  <c:v>137.023</c:v>
                </c:pt>
                <c:pt idx="5">
                  <c:v>156.24799999999999</c:v>
                </c:pt>
                <c:pt idx="6">
                  <c:v>175.59800000000001</c:v>
                </c:pt>
                <c:pt idx="7">
                  <c:v>174.352</c:v>
                </c:pt>
                <c:pt idx="8">
                  <c:v>180.56399999999999</c:v>
                </c:pt>
                <c:pt idx="9">
                  <c:v>165.001</c:v>
                </c:pt>
                <c:pt idx="10">
                  <c:v>123.381</c:v>
                </c:pt>
                <c:pt idx="11">
                  <c:v>156.809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7-4C48-A6C3-02C47D367978}"/>
            </c:ext>
          </c:extLst>
        </c:ser>
        <c:ser>
          <c:idx val="2"/>
          <c:order val="2"/>
          <c:tx>
            <c:strRef>
              <c:f>'2024'!$A$46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'2024'!$B$46:$M$46</c:f>
              <c:numCache>
                <c:formatCode>#,##0</c:formatCode>
                <c:ptCount val="12"/>
                <c:pt idx="0">
                  <c:v>8.6430000000000007</c:v>
                </c:pt>
                <c:pt idx="1">
                  <c:v>12.215999999999999</c:v>
                </c:pt>
                <c:pt idx="2">
                  <c:v>12.93</c:v>
                </c:pt>
                <c:pt idx="3">
                  <c:v>10.641999999999999</c:v>
                </c:pt>
                <c:pt idx="4">
                  <c:v>10.715</c:v>
                </c:pt>
                <c:pt idx="5">
                  <c:v>10.055999999999999</c:v>
                </c:pt>
                <c:pt idx="6">
                  <c:v>11.307</c:v>
                </c:pt>
                <c:pt idx="7">
                  <c:v>9.4489999999999998</c:v>
                </c:pt>
                <c:pt idx="8">
                  <c:v>10.199</c:v>
                </c:pt>
                <c:pt idx="9">
                  <c:v>9.4269999999999996</c:v>
                </c:pt>
                <c:pt idx="10">
                  <c:v>0</c:v>
                </c:pt>
                <c:pt idx="11">
                  <c:v>5.6609999999999996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7-4C48-A6C3-02C47D367978}"/>
            </c:ext>
          </c:extLst>
        </c:ser>
        <c:ser>
          <c:idx val="3"/>
          <c:order val="3"/>
          <c:tx>
            <c:strRef>
              <c:f>'2024'!$A$47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'2024'!$B$47:$M$47</c:f>
              <c:numCache>
                <c:formatCode>#,##0</c:formatCode>
                <c:ptCount val="12"/>
                <c:pt idx="0">
                  <c:v>6.7759999999999998</c:v>
                </c:pt>
                <c:pt idx="1">
                  <c:v>6.7039999999999997</c:v>
                </c:pt>
                <c:pt idx="2">
                  <c:v>6.0789999999999997</c:v>
                </c:pt>
                <c:pt idx="3">
                  <c:v>6.58</c:v>
                </c:pt>
                <c:pt idx="4">
                  <c:v>6.9459999999999997</c:v>
                </c:pt>
                <c:pt idx="5">
                  <c:v>6.45</c:v>
                </c:pt>
                <c:pt idx="6">
                  <c:v>6.3410000000000002</c:v>
                </c:pt>
                <c:pt idx="7">
                  <c:v>5.8310000000000004</c:v>
                </c:pt>
                <c:pt idx="8">
                  <c:v>5.5659999999999998</c:v>
                </c:pt>
                <c:pt idx="9">
                  <c:v>5.7</c:v>
                </c:pt>
                <c:pt idx="10">
                  <c:v>2.9910000000000001</c:v>
                </c:pt>
                <c:pt idx="11">
                  <c:v>3.887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E7-4C48-A6C3-02C47D367978}"/>
            </c:ext>
          </c:extLst>
        </c:ser>
        <c:ser>
          <c:idx val="4"/>
          <c:order val="4"/>
          <c:tx>
            <c:strRef>
              <c:f>'2024'!$A$49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7-4C48-A6C3-02C47D367978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'2024'!$B$49:$M$49</c:f>
              <c:numCache>
                <c:formatCode>#,##0</c:formatCode>
                <c:ptCount val="12"/>
                <c:pt idx="0">
                  <c:v>178.6200000000008</c:v>
                </c:pt>
                <c:pt idx="1">
                  <c:v>236.21699999999998</c:v>
                </c:pt>
                <c:pt idx="2">
                  <c:v>80.967999999998938</c:v>
                </c:pt>
                <c:pt idx="3">
                  <c:v>143.25099999999998</c:v>
                </c:pt>
                <c:pt idx="4">
                  <c:v>222.02399999999852</c:v>
                </c:pt>
                <c:pt idx="5">
                  <c:v>120.74400000000151</c:v>
                </c:pt>
                <c:pt idx="6">
                  <c:v>212.26999999999953</c:v>
                </c:pt>
                <c:pt idx="7">
                  <c:v>254.46400000000085</c:v>
                </c:pt>
                <c:pt idx="8">
                  <c:v>162.32900000000063</c:v>
                </c:pt>
                <c:pt idx="9">
                  <c:v>175.37199999999939</c:v>
                </c:pt>
                <c:pt idx="10">
                  <c:v>272.31500000000051</c:v>
                </c:pt>
                <c:pt idx="11">
                  <c:v>223.53300000000002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E7-4C48-A6C3-02C47D3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'2024'!$A$48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9-47CF-8547-5A72642B81C6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9-47CF-8547-5A72642B81C6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9-47CF-8547-5A72642B81C6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9-47CF-8547-5A72642B81C6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9-47CF-8547-5A72642B81C6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9-47CF-8547-5A72642B81C6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9-47CF-8547-5A72642B8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'2024'!$B$48:$M$48</c:f>
              <c:numCache>
                <c:formatCode>#,##0</c:formatCode>
                <c:ptCount val="12"/>
                <c:pt idx="0">
                  <c:v>276.36099999999999</c:v>
                </c:pt>
                <c:pt idx="1">
                  <c:v>333.20699999999999</c:v>
                </c:pt>
                <c:pt idx="2">
                  <c:v>286.33100000000002</c:v>
                </c:pt>
                <c:pt idx="3">
                  <c:v>247.52699999999999</c:v>
                </c:pt>
                <c:pt idx="4">
                  <c:v>280.86399999999998</c:v>
                </c:pt>
                <c:pt idx="5">
                  <c:v>274.50299999999999</c:v>
                </c:pt>
                <c:pt idx="6">
                  <c:v>303.47500000000002</c:v>
                </c:pt>
                <c:pt idx="7">
                  <c:v>301.76100000000002</c:v>
                </c:pt>
                <c:pt idx="8">
                  <c:v>271.81900000000002</c:v>
                </c:pt>
                <c:pt idx="9">
                  <c:v>296.07799999999997</c:v>
                </c:pt>
                <c:pt idx="10">
                  <c:v>329.41199999999998</c:v>
                </c:pt>
                <c:pt idx="11">
                  <c:v>304.04000000000002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9-47CF-8547-5A72642B8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DICIEMBRE 2024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5234.32</c:v>
                </c:pt>
                <c:pt idx="1">
                  <c:v>5482.2209999999995</c:v>
                </c:pt>
                <c:pt idx="2">
                  <c:v>5415.1689999999999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BAC-986F-EEED926A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DICIEMBRE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F-483F-A7A6-F2EE145F6B7D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83F-A7A6-F2EE145F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-7.6350000000002183</c:v>
                </c:pt>
                <c:pt idx="1">
                  <c:v>-7.3010000000000002</c:v>
                </c:pt>
                <c:pt idx="2">
                  <c:v>-196.66900000000001</c:v>
                </c:pt>
                <c:pt idx="3">
                  <c:v>51.342999999999996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83F-A7A6-F2EE145F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DICIEMBRE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177.91800000000001</c:v>
                </c:pt>
                <c:pt idx="1">
                  <c:v>0</c:v>
                </c:pt>
                <c:pt idx="2">
                  <c:v>115.131</c:v>
                </c:pt>
                <c:pt idx="3">
                  <c:v>25.479000000000013</c:v>
                </c:pt>
                <c:pt idx="4">
                  <c:v>164.97399999999999</c:v>
                </c:pt>
                <c:pt idx="5">
                  <c:v>0</c:v>
                </c:pt>
                <c:pt idx="6">
                  <c:v>97.415000000000006</c:v>
                </c:pt>
                <c:pt idx="7">
                  <c:v>5.5869999999999997</c:v>
                </c:pt>
                <c:pt idx="8">
                  <c:v>0</c:v>
                </c:pt>
                <c:pt idx="9">
                  <c:v>743.75700000000006</c:v>
                </c:pt>
                <c:pt idx="10">
                  <c:v>0</c:v>
                </c:pt>
                <c:pt idx="11">
                  <c:v>0</c:v>
                </c:pt>
                <c:pt idx="12">
                  <c:v>47.030999999999999</c:v>
                </c:pt>
                <c:pt idx="13">
                  <c:v>0</c:v>
                </c:pt>
                <c:pt idx="14">
                  <c:v>784.56600000000003</c:v>
                </c:pt>
                <c:pt idx="15">
                  <c:v>0</c:v>
                </c:pt>
                <c:pt idx="16">
                  <c:v>244.75200000000001</c:v>
                </c:pt>
                <c:pt idx="17">
                  <c:v>38.040999999999997</c:v>
                </c:pt>
                <c:pt idx="18">
                  <c:v>11.247999999999999</c:v>
                </c:pt>
                <c:pt idx="19">
                  <c:v>62.74</c:v>
                </c:pt>
                <c:pt idx="20">
                  <c:v>0</c:v>
                </c:pt>
                <c:pt idx="21">
                  <c:v>1780.252</c:v>
                </c:pt>
                <c:pt idx="22">
                  <c:v>14.125</c:v>
                </c:pt>
                <c:pt idx="23">
                  <c:v>0</c:v>
                </c:pt>
                <c:pt idx="24">
                  <c:v>1E-3</c:v>
                </c:pt>
                <c:pt idx="25">
                  <c:v>0</c:v>
                </c:pt>
                <c:pt idx="26">
                  <c:v>0</c:v>
                </c:pt>
                <c:pt idx="27">
                  <c:v>383.76700000000005</c:v>
                </c:pt>
                <c:pt idx="28">
                  <c:v>24.454999999999998</c:v>
                </c:pt>
                <c:pt idx="29">
                  <c:v>156.809</c:v>
                </c:pt>
                <c:pt idx="30">
                  <c:v>5.6609999999999996</c:v>
                </c:pt>
                <c:pt idx="31">
                  <c:v>3.887</c:v>
                </c:pt>
                <c:pt idx="32">
                  <c:v>304.04000000000002</c:v>
                </c:pt>
                <c:pt idx="33">
                  <c:v>223.53300000000002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45D0-8163-F47F18AB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'2024'!$B$16:$M$16</c:f>
              <c:numCache>
                <c:formatCode>#,##0</c:formatCode>
                <c:ptCount val="12"/>
                <c:pt idx="0">
                  <c:v>171.17400000000001</c:v>
                </c:pt>
                <c:pt idx="1">
                  <c:v>141.738</c:v>
                </c:pt>
                <c:pt idx="2">
                  <c:v>171.87</c:v>
                </c:pt>
                <c:pt idx="3">
                  <c:v>170.124</c:v>
                </c:pt>
                <c:pt idx="4">
                  <c:v>180.49600000000001</c:v>
                </c:pt>
                <c:pt idx="5">
                  <c:v>173.89400000000001</c:v>
                </c:pt>
                <c:pt idx="6">
                  <c:v>187.74799999999999</c:v>
                </c:pt>
                <c:pt idx="7">
                  <c:v>182.61799999999999</c:v>
                </c:pt>
                <c:pt idx="8">
                  <c:v>171.11600000000001</c:v>
                </c:pt>
                <c:pt idx="9">
                  <c:v>168.66300000000001</c:v>
                </c:pt>
                <c:pt idx="10">
                  <c:v>153.82400000000001</c:v>
                </c:pt>
                <c:pt idx="11">
                  <c:v>177.91800000000001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BD2-99F5-04D35964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4F-4F2E-9694-E0084FBF14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'2024'!$B$15:$M$15</c:f>
              <c:numCache>
                <c:formatCode>#,##0</c:formatCode>
                <c:ptCount val="12"/>
                <c:pt idx="0">
                  <c:v>5627.1900000000005</c:v>
                </c:pt>
                <c:pt idx="1">
                  <c:v>5224.4060000000009</c:v>
                </c:pt>
                <c:pt idx="2">
                  <c:v>5169.4089999999997</c:v>
                </c:pt>
                <c:pt idx="3">
                  <c:v>5233.6220000000003</c:v>
                </c:pt>
                <c:pt idx="4">
                  <c:v>5642.6579999999994</c:v>
                </c:pt>
                <c:pt idx="5">
                  <c:v>4961.1239999999998</c:v>
                </c:pt>
                <c:pt idx="6">
                  <c:v>5539.5619999999999</c:v>
                </c:pt>
                <c:pt idx="7">
                  <c:v>5482.4080000000004</c:v>
                </c:pt>
                <c:pt idx="8">
                  <c:v>5046.0910000000013</c:v>
                </c:pt>
                <c:pt idx="9">
                  <c:v>5183.6080000000002</c:v>
                </c:pt>
                <c:pt idx="10">
                  <c:v>4880.7290000000012</c:v>
                </c:pt>
                <c:pt idx="11">
                  <c:v>5415.1689999999999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F-4F2E-9694-E0084FBF14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'2025'!$B$5:$M$5</c:f>
              <c:numCache>
                <c:formatCode>#,##0</c:formatCode>
                <c:ptCount val="12"/>
                <c:pt idx="0">
                  <c:v>0.40699999999999997</c:v>
                </c:pt>
                <c:pt idx="1">
                  <c:v>0.23899999999999999</c:v>
                </c:pt>
                <c:pt idx="2">
                  <c:v>0.17599999999999999</c:v>
                </c:pt>
                <c:pt idx="3">
                  <c:v>6.0000000000000001E-3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1-4B97-9F51-5B0CAB6ADF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732-4A68-A381-98E2D9E1DA6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'2025'!$B$6:$M$6</c:f>
              <c:numCache>
                <c:formatCode>#,##0</c:formatCode>
                <c:ptCount val="12"/>
                <c:pt idx="0">
                  <c:v>5182.2709999999997</c:v>
                </c:pt>
                <c:pt idx="1">
                  <c:v>5072.5690000000004</c:v>
                </c:pt>
                <c:pt idx="2">
                  <c:v>5310.0219999999999</c:v>
                </c:pt>
                <c:pt idx="3">
                  <c:v>4795.9139999999998</c:v>
                </c:pt>
                <c:pt idx="4">
                  <c:v>4790.9260000000004</c:v>
                </c:pt>
                <c:pt idx="5">
                  <c:v>4131.1869999999999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2-4A68-A381-98E2D9E1DA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EB-4BFB-BD25-52B25766D27C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EB-4BFB-BD25-52B25766D27C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EB-4BFB-BD25-52B25766D27C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EB-4BFB-BD25-52B25766D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'2025'!$B$7:$M$7</c:f>
              <c:numCache>
                <c:formatCode>#,##0</c:formatCode>
                <c:ptCount val="12"/>
                <c:pt idx="0">
                  <c:v>192.98100000000068</c:v>
                </c:pt>
                <c:pt idx="1">
                  <c:v>-49.119000000000597</c:v>
                </c:pt>
                <c:pt idx="2">
                  <c:v>-73.728000000000065</c:v>
                </c:pt>
                <c:pt idx="3">
                  <c:v>231.78200000000015</c:v>
                </c:pt>
                <c:pt idx="4">
                  <c:v>104.94999999999982</c:v>
                </c:pt>
                <c:pt idx="5">
                  <c:v>91.760000000000218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EB-4BFB-BD25-52B25766D27C}"/>
            </c:ext>
          </c:extLst>
        </c:ser>
        <c:ser>
          <c:idx val="1"/>
          <c:order val="1"/>
          <c:tx>
            <c:strRef>
              <c:f>'2025'!$A$8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EB-4BFB-BD25-52B25766D27C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B-4BFB-BD25-52B25766D27C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EB-4BFB-BD25-52B25766D27C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EB-4BFB-BD25-52B25766D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'2025'!$B$8:$M$8</c:f>
              <c:numCache>
                <c:formatCode>#,##0</c:formatCode>
                <c:ptCount val="12"/>
                <c:pt idx="0">
                  <c:v>-118.96599999999999</c:v>
                </c:pt>
                <c:pt idx="1">
                  <c:v>311.27600000000001</c:v>
                </c:pt>
                <c:pt idx="2">
                  <c:v>-7.0119999999999996</c:v>
                </c:pt>
                <c:pt idx="3">
                  <c:v>257.46199999999999</c:v>
                </c:pt>
                <c:pt idx="4">
                  <c:v>14.525</c:v>
                </c:pt>
                <c:pt idx="5">
                  <c:v>-442.20400000000001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EB-4BFB-BD25-52B25766D27C}"/>
            </c:ext>
          </c:extLst>
        </c:ser>
        <c:ser>
          <c:idx val="2"/>
          <c:order val="2"/>
          <c:tx>
            <c:strRef>
              <c:f>'2025'!$A$9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EB-4BFB-BD25-52B25766D27C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EB-4BFB-BD25-52B25766D27C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EB-4BFB-BD25-52B25766D27C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EB-4BFB-BD25-52B25766D27C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EB-4BFB-BD25-52B25766D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'2025'!$B$9:$M$9</c:f>
              <c:numCache>
                <c:formatCode>#,##0</c:formatCode>
                <c:ptCount val="12"/>
                <c:pt idx="0">
                  <c:v>251.21300000000002</c:v>
                </c:pt>
                <c:pt idx="1">
                  <c:v>1.2939999999999827</c:v>
                </c:pt>
                <c:pt idx="2">
                  <c:v>-56.305</c:v>
                </c:pt>
                <c:pt idx="3">
                  <c:v>122.38999999999999</c:v>
                </c:pt>
                <c:pt idx="4">
                  <c:v>144.45099999999999</c:v>
                </c:pt>
                <c:pt idx="5">
                  <c:v>-239.61200000000002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EB-4BFB-BD25-52B25766D27C}"/>
            </c:ext>
          </c:extLst>
        </c:ser>
        <c:ser>
          <c:idx val="3"/>
          <c:order val="3"/>
          <c:tx>
            <c:strRef>
              <c:f>'2025'!$A$10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EB-4BFB-BD25-52B25766D27C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EB-4BFB-BD25-52B25766D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'2025'!$B$10:$M$10</c:f>
              <c:numCache>
                <c:formatCode>#,##0</c:formatCode>
                <c:ptCount val="12"/>
                <c:pt idx="0">
                  <c:v>62.945999999999998</c:v>
                </c:pt>
                <c:pt idx="1">
                  <c:v>55.45</c:v>
                </c:pt>
                <c:pt idx="2">
                  <c:v>23.821999999999999</c:v>
                </c:pt>
                <c:pt idx="3">
                  <c:v>26.233000000000001</c:v>
                </c:pt>
                <c:pt idx="4">
                  <c:v>49.732999999999997</c:v>
                </c:pt>
                <c:pt idx="5">
                  <c:v>16.376999999999999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3EB-4BFB-BD25-52B25766D27C}"/>
            </c:ext>
          </c:extLst>
        </c:ser>
        <c:ser>
          <c:idx val="4"/>
          <c:order val="4"/>
          <c:tx>
            <c:strRef>
              <c:f>'2025'!$A$11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EB-4BFB-BD25-52B25766D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EB-4BFB-BD25-52B25766D2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'2025'!$A$14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'2025'!$B$14:$M$14</c:f>
              <c:numCache>
                <c:formatCode>#,##0</c:formatCode>
                <c:ptCount val="12"/>
                <c:pt idx="0">
                  <c:v>157.89100000000144</c:v>
                </c:pt>
                <c:pt idx="1">
                  <c:v>71.536999999999352</c:v>
                </c:pt>
                <c:pt idx="2">
                  <c:v>220.40999999999985</c:v>
                </c:pt>
                <c:pt idx="3">
                  <c:v>105.32200000000103</c:v>
                </c:pt>
                <c:pt idx="4">
                  <c:v>58.5</c:v>
                </c:pt>
                <c:pt idx="5">
                  <c:v>37.992000000000189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D-4D5D-B0BE-7B6683E0D856}"/>
            </c:ext>
          </c:extLst>
        </c:ser>
        <c:ser>
          <c:idx val="1"/>
          <c:order val="1"/>
          <c:tx>
            <c:strRef>
              <c:f>'2025'!$A$13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'2025'!$B$13:$M$13</c:f>
              <c:numCache>
                <c:formatCode>#,##0</c:formatCode>
                <c:ptCount val="12"/>
                <c:pt idx="0">
                  <c:v>5301.6440000000002</c:v>
                </c:pt>
                <c:pt idx="1">
                  <c:v>4761.5320000000002</c:v>
                </c:pt>
                <c:pt idx="2">
                  <c:v>5317.21</c:v>
                </c:pt>
                <c:pt idx="3">
                  <c:v>4538.4579999999996</c:v>
                </c:pt>
                <c:pt idx="4">
                  <c:v>4776.4009999999998</c:v>
                </c:pt>
                <c:pt idx="5">
                  <c:v>4573.3909999999996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D-4D5D-B0BE-7B6683E0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'2025'!$A$12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32D-4D5D-B0BE-7B6683E0D8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'2025'!$B$12:$M$12</c:f>
              <c:numCache>
                <c:formatCode>#,##0</c:formatCode>
                <c:ptCount val="12"/>
                <c:pt idx="0">
                  <c:v>5306.3580000000011</c:v>
                </c:pt>
                <c:pt idx="1">
                  <c:v>4766.5689999999995</c:v>
                </c:pt>
                <c:pt idx="2">
                  <c:v>5323.6090000000004</c:v>
                </c:pt>
                <c:pt idx="3">
                  <c:v>4674.0829999999996</c:v>
                </c:pt>
                <c:pt idx="4">
                  <c:v>4786.6330000000007</c:v>
                </c:pt>
                <c:pt idx="5">
                  <c:v>4921.1400000000003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2D-4D5D-B0BE-7B6683E0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'2025'!$A$18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A5-4A0A-BA9E-C5DB3CBAE9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A5-4A0A-BA9E-C5DB3CBAE9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A5-4A0A-BA9E-C5DB3CBAE9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CA5-4A0A-BA9E-C5DB3CBAE9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CA5-4A0A-BA9E-C5DB3CBAE9D1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5-4A0A-BA9E-C5DB3CBAE9D1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5-4A0A-BA9E-C5DB3CBAE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'2025'!$B$18:$M$18</c:f>
              <c:numCache>
                <c:formatCode>#,##0</c:formatCode>
                <c:ptCount val="12"/>
                <c:pt idx="0">
                  <c:v>103.541</c:v>
                </c:pt>
                <c:pt idx="1">
                  <c:v>94.614000000000004</c:v>
                </c:pt>
                <c:pt idx="2">
                  <c:v>96.242000000000004</c:v>
                </c:pt>
                <c:pt idx="3">
                  <c:v>64.98</c:v>
                </c:pt>
                <c:pt idx="4">
                  <c:v>88.978999999999999</c:v>
                </c:pt>
                <c:pt idx="5">
                  <c:v>81.649000000000001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A5-4A0A-BA9E-C5DB3CBAE9D1}"/>
            </c:ext>
          </c:extLst>
        </c:ser>
        <c:ser>
          <c:idx val="1"/>
          <c:order val="1"/>
          <c:tx>
            <c:strRef>
              <c:f>'2025'!$A$19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'2025'!$B$19:$M$19</c:f>
              <c:numCache>
                <c:formatCode>#,##0</c:formatCode>
                <c:ptCount val="12"/>
                <c:pt idx="0">
                  <c:v>24.610000000000014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39.623000000000005</c:v>
                </c:pt>
                <c:pt idx="5">
                  <c:v>10.674999999999997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A5-4A0A-BA9E-C5DB3CBAE9D1}"/>
            </c:ext>
          </c:extLst>
        </c:ser>
        <c:ser>
          <c:idx val="2"/>
          <c:order val="2"/>
          <c:tx>
            <c:strRef>
              <c:f>'2025'!$A$17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A5-4A0A-BA9E-C5DB3CBAE9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'2025'!$B$20:$M$20</c:f>
              <c:numCache>
                <c:formatCode>#,##0</c:formatCode>
                <c:ptCount val="12"/>
                <c:pt idx="0">
                  <c:v>158.80600000000001</c:v>
                </c:pt>
                <c:pt idx="1">
                  <c:v>120.563</c:v>
                </c:pt>
                <c:pt idx="2">
                  <c:v>132.67400000000001</c:v>
                </c:pt>
                <c:pt idx="3">
                  <c:v>136.02799999999999</c:v>
                </c:pt>
                <c:pt idx="4">
                  <c:v>137.44300000000001</c:v>
                </c:pt>
                <c:pt idx="5">
                  <c:v>125.089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8-4151-9B6F-B9D08E592558}"/>
            </c:ext>
          </c:extLst>
        </c:ser>
        <c:ser>
          <c:idx val="1"/>
          <c:order val="1"/>
          <c:tx>
            <c:strRef>
              <c:f>'2025'!$A$21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8-4151-9B6F-B9D08E592558}"/>
            </c:ext>
          </c:extLst>
        </c:ser>
        <c:ser>
          <c:idx val="2"/>
          <c:order val="2"/>
          <c:tx>
            <c:strRef>
              <c:f>'2025'!$A$22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'2025'!$B$22:$M$22</c:f>
              <c:numCache>
                <c:formatCode>#,##0</c:formatCode>
                <c:ptCount val="12"/>
                <c:pt idx="0">
                  <c:v>84.7</c:v>
                </c:pt>
                <c:pt idx="1">
                  <c:v>85.424000000000007</c:v>
                </c:pt>
                <c:pt idx="2">
                  <c:v>80.259</c:v>
                </c:pt>
                <c:pt idx="3">
                  <c:v>91.846000000000004</c:v>
                </c:pt>
                <c:pt idx="4">
                  <c:v>100.376</c:v>
                </c:pt>
                <c:pt idx="5">
                  <c:v>91.144000000000005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8-4151-9B6F-B9D08E592558}"/>
            </c:ext>
          </c:extLst>
        </c:ser>
        <c:ser>
          <c:idx val="3"/>
          <c:order val="3"/>
          <c:tx>
            <c:strRef>
              <c:f>'2025'!$A$23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'2025'!$B$23:$M$23</c:f>
              <c:numCache>
                <c:formatCode>#,##0</c:formatCode>
                <c:ptCount val="12"/>
                <c:pt idx="0">
                  <c:v>6.4459999999999997</c:v>
                </c:pt>
                <c:pt idx="1">
                  <c:v>6.1920000000000002</c:v>
                </c:pt>
                <c:pt idx="2">
                  <c:v>7.1070000000000002</c:v>
                </c:pt>
                <c:pt idx="3">
                  <c:v>10.738</c:v>
                </c:pt>
                <c:pt idx="4">
                  <c:v>9.3870000000000005</c:v>
                </c:pt>
                <c:pt idx="5">
                  <c:v>4.9489999999999998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8-4151-9B6F-B9D08E592558}"/>
            </c:ext>
          </c:extLst>
        </c:ser>
        <c:ser>
          <c:idx val="4"/>
          <c:order val="4"/>
          <c:tx>
            <c:strRef>
              <c:f>'2025'!$A$24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C8-4151-9B6F-B9D08E592558}"/>
            </c:ext>
          </c:extLst>
        </c:ser>
        <c:ser>
          <c:idx val="5"/>
          <c:order val="5"/>
          <c:tx>
            <c:strRef>
              <c:f>'2025'!$A$25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'2025'!$B$25:$M$25</c:f>
              <c:numCache>
                <c:formatCode>#,##0</c:formatCode>
                <c:ptCount val="12"/>
                <c:pt idx="0">
                  <c:v>697.10399999999993</c:v>
                </c:pt>
                <c:pt idx="1">
                  <c:v>638.01099999999997</c:v>
                </c:pt>
                <c:pt idx="2">
                  <c:v>702.73799999999994</c:v>
                </c:pt>
                <c:pt idx="3">
                  <c:v>634.71599999999989</c:v>
                </c:pt>
                <c:pt idx="4">
                  <c:v>577.29599999999994</c:v>
                </c:pt>
                <c:pt idx="5">
                  <c:v>602.87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C8-4151-9B6F-B9D08E592558}"/>
            </c:ext>
          </c:extLst>
        </c:ser>
        <c:ser>
          <c:idx val="6"/>
          <c:order val="6"/>
          <c:tx>
            <c:strRef>
              <c:f>'2025'!$A$27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C8-4151-9B6F-B9D08E592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'2025'!$B$28:$M$28</c:f>
              <c:numCache>
                <c:formatCode>#,##0</c:formatCode>
                <c:ptCount val="12"/>
                <c:pt idx="0">
                  <c:v>31.023</c:v>
                </c:pt>
                <c:pt idx="1">
                  <c:v>37.520000000000003</c:v>
                </c:pt>
                <c:pt idx="2">
                  <c:v>47.640999999999998</c:v>
                </c:pt>
                <c:pt idx="3">
                  <c:v>42.44</c:v>
                </c:pt>
                <c:pt idx="4">
                  <c:v>52.503999999999998</c:v>
                </c:pt>
                <c:pt idx="5">
                  <c:v>41.771000000000001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3-41AE-AA5B-9ECF7C25B518}"/>
            </c:ext>
          </c:extLst>
        </c:ser>
        <c:ser>
          <c:idx val="1"/>
          <c:order val="1"/>
          <c:tx>
            <c:strRef>
              <c:f>'2025'!$A$29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3-41AE-AA5B-9ECF7C25B518}"/>
            </c:ext>
          </c:extLst>
        </c:ser>
        <c:ser>
          <c:idx val="2"/>
          <c:order val="2"/>
          <c:tx>
            <c:strRef>
              <c:f>'2025'!$A$30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'2025'!$B$30:$M$30</c:f>
              <c:numCache>
                <c:formatCode>#,##0</c:formatCode>
                <c:ptCount val="12"/>
                <c:pt idx="0">
                  <c:v>801.43600000000004</c:v>
                </c:pt>
                <c:pt idx="1">
                  <c:v>678.79300000000001</c:v>
                </c:pt>
                <c:pt idx="2">
                  <c:v>805.83</c:v>
                </c:pt>
                <c:pt idx="3">
                  <c:v>689.60400000000004</c:v>
                </c:pt>
                <c:pt idx="4">
                  <c:v>669.98500000000001</c:v>
                </c:pt>
                <c:pt idx="5">
                  <c:v>710.31600000000003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43-41AE-AA5B-9ECF7C25B5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B-4E6F-9ACB-FB601B5F5B71}"/>
            </c:ext>
          </c:extLst>
        </c:ser>
        <c:ser>
          <c:idx val="1"/>
          <c:order val="1"/>
          <c:tx>
            <c:strRef>
              <c:f>'2025'!$A$32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'2025'!$B$32:$M$32</c:f>
              <c:numCache>
                <c:formatCode>#,##0</c:formatCode>
                <c:ptCount val="12"/>
                <c:pt idx="0">
                  <c:v>266.14400000000001</c:v>
                </c:pt>
                <c:pt idx="1">
                  <c:v>217.99199999999999</c:v>
                </c:pt>
                <c:pt idx="2">
                  <c:v>275.00900000000001</c:v>
                </c:pt>
                <c:pt idx="3">
                  <c:v>264.98200000000003</c:v>
                </c:pt>
                <c:pt idx="4">
                  <c:v>261.40499999999997</c:v>
                </c:pt>
                <c:pt idx="5">
                  <c:v>250.71600000000001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B-4E6F-9ACB-FB601B5F5B71}"/>
            </c:ext>
          </c:extLst>
        </c:ser>
        <c:ser>
          <c:idx val="2"/>
          <c:order val="2"/>
          <c:tx>
            <c:strRef>
              <c:f>'2025'!$A$33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'2025'!$B$33:$M$33</c:f>
              <c:numCache>
                <c:formatCode>#,##0</c:formatCode>
                <c:ptCount val="12"/>
                <c:pt idx="0">
                  <c:v>16.056999999999999</c:v>
                </c:pt>
                <c:pt idx="1">
                  <c:v>43.819000000000003</c:v>
                </c:pt>
                <c:pt idx="2">
                  <c:v>20.041</c:v>
                </c:pt>
                <c:pt idx="3">
                  <c:v>34.475999999999999</c:v>
                </c:pt>
                <c:pt idx="4">
                  <c:v>13.831</c:v>
                </c:pt>
                <c:pt idx="5">
                  <c:v>38.195999999999998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6B-4E6F-9ACB-FB601B5F5B71}"/>
            </c:ext>
          </c:extLst>
        </c:ser>
        <c:ser>
          <c:idx val="3"/>
          <c:order val="3"/>
          <c:tx>
            <c:strRef>
              <c:f>'2025'!$A$34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'2025'!$B$34:$M$34</c:f>
              <c:numCache>
                <c:formatCode>#,##0</c:formatCode>
                <c:ptCount val="12"/>
                <c:pt idx="0">
                  <c:v>11.744999999999999</c:v>
                </c:pt>
                <c:pt idx="1">
                  <c:v>10.614000000000001</c:v>
                </c:pt>
                <c:pt idx="2">
                  <c:v>11.478999999999999</c:v>
                </c:pt>
                <c:pt idx="3">
                  <c:v>8.5120000000000005</c:v>
                </c:pt>
                <c:pt idx="4">
                  <c:v>8.3800000000000008</c:v>
                </c:pt>
                <c:pt idx="5">
                  <c:v>6.3220000000000001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6B-4E6F-9ACB-FB601B5F5B71}"/>
            </c:ext>
          </c:extLst>
        </c:ser>
        <c:ser>
          <c:idx val="4"/>
          <c:order val="4"/>
          <c:tx>
            <c:strRef>
              <c:f>'2025'!$A$35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'2025'!$B$35:$M$35</c:f>
              <c:numCache>
                <c:formatCode>#,##0</c:formatCode>
                <c:ptCount val="12"/>
                <c:pt idx="0">
                  <c:v>69.126999999999995</c:v>
                </c:pt>
                <c:pt idx="1">
                  <c:v>61.704000000000001</c:v>
                </c:pt>
                <c:pt idx="2">
                  <c:v>64.162000000000006</c:v>
                </c:pt>
                <c:pt idx="3">
                  <c:v>75.816999999999993</c:v>
                </c:pt>
                <c:pt idx="4">
                  <c:v>79.024000000000001</c:v>
                </c:pt>
                <c:pt idx="5">
                  <c:v>74.072000000000003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6B-4E6F-9ACB-FB601B5F5B71}"/>
            </c:ext>
          </c:extLst>
        </c:ser>
        <c:ser>
          <c:idx val="5"/>
          <c:order val="5"/>
          <c:tx>
            <c:strRef>
              <c:f>'2025'!$A$36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6B-4E6F-9ACB-FB601B5F5B71}"/>
            </c:ext>
          </c:extLst>
        </c:ser>
        <c:ser>
          <c:idx val="6"/>
          <c:order val="6"/>
          <c:tx>
            <c:strRef>
              <c:f>'2025'!$A$37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'2025'!$B$37:$M$37</c:f>
              <c:numCache>
                <c:formatCode>#,##0</c:formatCode>
                <c:ptCount val="12"/>
                <c:pt idx="0">
                  <c:v>1625.5330000000001</c:v>
                </c:pt>
                <c:pt idx="1">
                  <c:v>1564.296</c:v>
                </c:pt>
                <c:pt idx="2">
                  <c:v>1698.4470000000001</c:v>
                </c:pt>
                <c:pt idx="3">
                  <c:v>1412.4479999999999</c:v>
                </c:pt>
                <c:pt idx="4">
                  <c:v>1561.6469999999999</c:v>
                </c:pt>
                <c:pt idx="5">
                  <c:v>1562.0510000000002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6B-4E6F-9ACB-FB601B5F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7-42EA-8C78-0CAC1B5873C7}"/>
            </c:ext>
          </c:extLst>
        </c:ser>
        <c:ser>
          <c:idx val="1"/>
          <c:order val="1"/>
          <c:tx>
            <c:strRef>
              <c:f>'2025'!$A$38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'2025'!$B$38:$M$38</c:f>
              <c:numCache>
                <c:formatCode>#,##0</c:formatCode>
                <c:ptCount val="12"/>
                <c:pt idx="0">
                  <c:v>27.832000000000001</c:v>
                </c:pt>
                <c:pt idx="1">
                  <c:v>31.614999999999998</c:v>
                </c:pt>
                <c:pt idx="2">
                  <c:v>33.893999999999998</c:v>
                </c:pt>
                <c:pt idx="3">
                  <c:v>29.126000000000001</c:v>
                </c:pt>
                <c:pt idx="4">
                  <c:v>36.539000000000001</c:v>
                </c:pt>
                <c:pt idx="5">
                  <c:v>28.972999999999999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7-42EA-8C78-0CAC1B5873C7}"/>
            </c:ext>
          </c:extLst>
        </c:ser>
        <c:ser>
          <c:idx val="2"/>
          <c:order val="2"/>
          <c:tx>
            <c:strRef>
              <c:f>'2025'!$A$39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57-42EA-8C78-0CAC1B5873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6-4C26-B72E-81DC6E77755C}"/>
            </c:ext>
          </c:extLst>
        </c:ser>
        <c:ser>
          <c:idx val="1"/>
          <c:order val="1"/>
          <c:tx>
            <c:strRef>
              <c:f>'2025'!$A$41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'2025'!$B$41:$M$41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8.0000000000000002E-3</c:v>
                </c:pt>
                <c:pt idx="3">
                  <c:v>3.0000000000000001E-3</c:v>
                </c:pt>
                <c:pt idx="4">
                  <c:v>7.1999999999999995E-2</c:v>
                </c:pt>
                <c:pt idx="5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6-4C26-B72E-81DC6E77755C}"/>
            </c:ext>
          </c:extLst>
        </c:ser>
        <c:ser>
          <c:idx val="2"/>
          <c:order val="2"/>
          <c:tx>
            <c:strRef>
              <c:f>'2025'!$A$42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A6-4C26-B72E-81DC6E77755C}"/>
            </c:ext>
          </c:extLst>
        </c:ser>
        <c:ser>
          <c:idx val="3"/>
          <c:order val="3"/>
          <c:tx>
            <c:strRef>
              <c:f>'2025'!$A$43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A6-4C26-B72E-81DC6E77755C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A6-4C26-B72E-81DC6E777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'2025'!$B$43:$M$43</c:f>
              <c:numCache>
                <c:formatCode>#,##0</c:formatCode>
                <c:ptCount val="12"/>
                <c:pt idx="0">
                  <c:v>352.94900000000001</c:v>
                </c:pt>
                <c:pt idx="1">
                  <c:v>324.98</c:v>
                </c:pt>
                <c:pt idx="2">
                  <c:v>220.25399999999999</c:v>
                </c:pt>
                <c:pt idx="3">
                  <c:v>289.10199999999998</c:v>
                </c:pt>
                <c:pt idx="4">
                  <c:v>324.642</c:v>
                </c:pt>
                <c:pt idx="5">
                  <c:v>321.29899999999998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A6-4C26-B72E-81DC6E7775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'2025'!$B$44:$M$44</c:f>
              <c:numCache>
                <c:formatCode>#,##0</c:formatCode>
                <c:ptCount val="12"/>
                <c:pt idx="0">
                  <c:v>25.298999999999999</c:v>
                </c:pt>
                <c:pt idx="1">
                  <c:v>20.347000000000001</c:v>
                </c:pt>
                <c:pt idx="2">
                  <c:v>23.401</c:v>
                </c:pt>
                <c:pt idx="3">
                  <c:v>18.108000000000001</c:v>
                </c:pt>
                <c:pt idx="4">
                  <c:v>19.988</c:v>
                </c:pt>
                <c:pt idx="5">
                  <c:v>25.501999999999999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5-4646-BF19-4B04FFC56F34}"/>
            </c:ext>
          </c:extLst>
        </c:ser>
        <c:ser>
          <c:idx val="1"/>
          <c:order val="1"/>
          <c:tx>
            <c:strRef>
              <c:f>'2025'!$A$45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35-4646-BF19-4B04FFC56F34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35-4646-BF19-4B04FFC56F34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35-4646-BF19-4B04FFC56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'2025'!$B$45:$M$45</c:f>
              <c:numCache>
                <c:formatCode>#,##0</c:formatCode>
                <c:ptCount val="12"/>
                <c:pt idx="0">
                  <c:v>116.541</c:v>
                </c:pt>
                <c:pt idx="1">
                  <c:v>119.774</c:v>
                </c:pt>
                <c:pt idx="2">
                  <c:v>101.82599999999999</c:v>
                </c:pt>
                <c:pt idx="3">
                  <c:v>145.04900000000001</c:v>
                </c:pt>
                <c:pt idx="4">
                  <c:v>135.35900000000001</c:v>
                </c:pt>
                <c:pt idx="5">
                  <c:v>192.636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35-4646-BF19-4B04FFC56F34}"/>
            </c:ext>
          </c:extLst>
        </c:ser>
        <c:ser>
          <c:idx val="2"/>
          <c:order val="2"/>
          <c:tx>
            <c:strRef>
              <c:f>'2025'!$A$46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'2025'!$B$46:$M$46</c:f>
              <c:numCache>
                <c:formatCode>#,##0</c:formatCode>
                <c:ptCount val="12"/>
                <c:pt idx="0">
                  <c:v>10.762</c:v>
                </c:pt>
                <c:pt idx="1">
                  <c:v>9.2319999999999993</c:v>
                </c:pt>
                <c:pt idx="2">
                  <c:v>11.792999999999999</c:v>
                </c:pt>
                <c:pt idx="3">
                  <c:v>7.1879999999999997</c:v>
                </c:pt>
                <c:pt idx="4">
                  <c:v>7.89</c:v>
                </c:pt>
                <c:pt idx="5">
                  <c:v>10.404999999999999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35-4646-BF19-4B04FFC56F34}"/>
            </c:ext>
          </c:extLst>
        </c:ser>
        <c:ser>
          <c:idx val="3"/>
          <c:order val="3"/>
          <c:tx>
            <c:strRef>
              <c:f>'2025'!$A$47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'2025'!$B$47:$M$47</c:f>
              <c:numCache>
                <c:formatCode>#,##0</c:formatCode>
                <c:ptCount val="12"/>
                <c:pt idx="0">
                  <c:v>5.4790000000000001</c:v>
                </c:pt>
                <c:pt idx="1">
                  <c:v>5.742</c:v>
                </c:pt>
                <c:pt idx="2">
                  <c:v>5.3330000000000002</c:v>
                </c:pt>
                <c:pt idx="3">
                  <c:v>5.3170000000000002</c:v>
                </c:pt>
                <c:pt idx="4">
                  <c:v>5.4550000000000001</c:v>
                </c:pt>
                <c:pt idx="5">
                  <c:v>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35-4646-BF19-4B04FFC56F34}"/>
            </c:ext>
          </c:extLst>
        </c:ser>
        <c:ser>
          <c:idx val="4"/>
          <c:order val="4"/>
          <c:tx>
            <c:strRef>
              <c:f>'2025'!$A$49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35-4646-BF19-4B04FFC56F34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35-4646-BF19-4B04FFC56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'2025'!$B$49:$M$49</c:f>
              <c:numCache>
                <c:formatCode>#,##0</c:formatCode>
                <c:ptCount val="12"/>
                <c:pt idx="0">
                  <c:v>280.41699999999946</c:v>
                </c:pt>
                <c:pt idx="1">
                  <c:v>186.78799999999956</c:v>
                </c:pt>
                <c:pt idx="2">
                  <c:v>254.91700000000128</c:v>
                </c:pt>
                <c:pt idx="3">
                  <c:v>194.22499999999854</c:v>
                </c:pt>
                <c:pt idx="4">
                  <c:v>171.73299999999927</c:v>
                </c:pt>
                <c:pt idx="5">
                  <c:v>244.98199999999997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35-4646-BF19-4B04FFC56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'2025'!$A$48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68-4DD5-B5E2-1E53CF1D9861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68-4DD5-B5E2-1E53CF1D9861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68-4DD5-B5E2-1E53CF1D9861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68-4DD5-B5E2-1E53CF1D9861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68-4DD5-B5E2-1E53CF1D9861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68-4DD5-B5E2-1E53CF1D9861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68-4DD5-B5E2-1E53CF1D9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'2025'!$B$48:$M$48</c:f>
              <c:numCache>
                <c:formatCode>#,##0</c:formatCode>
                <c:ptCount val="12"/>
                <c:pt idx="0">
                  <c:v>260.82100000000003</c:v>
                </c:pt>
                <c:pt idx="1">
                  <c:v>249.82400000000001</c:v>
                </c:pt>
                <c:pt idx="2">
                  <c:v>293.46100000000001</c:v>
                </c:pt>
                <c:pt idx="3">
                  <c:v>244.34899999999999</c:v>
                </c:pt>
                <c:pt idx="4">
                  <c:v>283.19799999999998</c:v>
                </c:pt>
                <c:pt idx="5">
                  <c:v>291.35300000000001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68-4DD5-B5E2-1E53CF1D98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'2025'!$AV$3</c:f>
          <c:strCache>
            <c:ptCount val="1"/>
            <c:pt idx="0">
              <c:v>JUNIO 2025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'2025'!$AU$6:$AU$8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'2025'!$AV$6:$AV$8</c:f>
              <c:numCache>
                <c:formatCode>0.0</c:formatCode>
                <c:ptCount val="3"/>
                <c:pt idx="0">
                  <c:v>4131.1869999999999</c:v>
                </c:pt>
                <c:pt idx="1">
                  <c:v>4921.1400000000003</c:v>
                </c:pt>
                <c:pt idx="2">
                  <c:v>4883.1480000000001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5-4453-A9BC-B70C5C897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'2025'!$AV$3</c:f>
          <c:strCache>
            <c:ptCount val="1"/>
            <c:pt idx="0">
              <c:v>JUNIO 2025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B48-4133-862E-FD938CA0B236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48-4133-862E-FD938CA0B2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'2025'!$AU$11:$AU$15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'2025'!$AV$11:$AV$15</c:f>
              <c:numCache>
                <c:formatCode>0.0</c:formatCode>
                <c:ptCount val="5"/>
                <c:pt idx="0">
                  <c:v>91.760000000000218</c:v>
                </c:pt>
                <c:pt idx="1">
                  <c:v>-442.20400000000001</c:v>
                </c:pt>
                <c:pt idx="2">
                  <c:v>-239.61200000000002</c:v>
                </c:pt>
                <c:pt idx="3">
                  <c:v>16.376999999999999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8-4133-862E-FD938CA0B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'2025'!$AV$3</c:f>
          <c:strCache>
            <c:ptCount val="1"/>
            <c:pt idx="0">
              <c:v>JUNIO 2025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'2025'!$AU$17:$AU$50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'2025'!$AV$17:$AV$50</c:f>
              <c:numCache>
                <c:formatCode>0.0</c:formatCode>
                <c:ptCount val="34"/>
                <c:pt idx="0">
                  <c:v>162.38999999999999</c:v>
                </c:pt>
                <c:pt idx="1">
                  <c:v>0</c:v>
                </c:pt>
                <c:pt idx="2">
                  <c:v>81.649000000000001</c:v>
                </c:pt>
                <c:pt idx="3">
                  <c:v>10.674999999999997</c:v>
                </c:pt>
                <c:pt idx="4">
                  <c:v>125.089</c:v>
                </c:pt>
                <c:pt idx="5">
                  <c:v>0</c:v>
                </c:pt>
                <c:pt idx="6">
                  <c:v>91.144000000000005</c:v>
                </c:pt>
                <c:pt idx="7">
                  <c:v>4.9489999999999998</c:v>
                </c:pt>
                <c:pt idx="8">
                  <c:v>0</c:v>
                </c:pt>
                <c:pt idx="9">
                  <c:v>602.87</c:v>
                </c:pt>
                <c:pt idx="10">
                  <c:v>0</c:v>
                </c:pt>
                <c:pt idx="11">
                  <c:v>0</c:v>
                </c:pt>
                <c:pt idx="12">
                  <c:v>41.771000000000001</c:v>
                </c:pt>
                <c:pt idx="13">
                  <c:v>0</c:v>
                </c:pt>
                <c:pt idx="14">
                  <c:v>710.31600000000003</c:v>
                </c:pt>
                <c:pt idx="15">
                  <c:v>0</c:v>
                </c:pt>
                <c:pt idx="16">
                  <c:v>250.71600000000001</c:v>
                </c:pt>
                <c:pt idx="17">
                  <c:v>38.195999999999998</c:v>
                </c:pt>
                <c:pt idx="18">
                  <c:v>6.3220000000000001</c:v>
                </c:pt>
                <c:pt idx="19">
                  <c:v>74.072000000000003</c:v>
                </c:pt>
                <c:pt idx="20">
                  <c:v>0</c:v>
                </c:pt>
                <c:pt idx="21">
                  <c:v>1562.0510000000002</c:v>
                </c:pt>
                <c:pt idx="22">
                  <c:v>28.972999999999999</c:v>
                </c:pt>
                <c:pt idx="23">
                  <c:v>0</c:v>
                </c:pt>
                <c:pt idx="24">
                  <c:v>2.1000000000000001E-2</c:v>
                </c:pt>
                <c:pt idx="25">
                  <c:v>7.6999999999999999E-2</c:v>
                </c:pt>
                <c:pt idx="26">
                  <c:v>0</c:v>
                </c:pt>
                <c:pt idx="27">
                  <c:v>321.29899999999998</c:v>
                </c:pt>
                <c:pt idx="28">
                  <c:v>25.501999999999999</c:v>
                </c:pt>
                <c:pt idx="29">
                  <c:v>192.636</c:v>
                </c:pt>
                <c:pt idx="30">
                  <c:v>10.404999999999999</c:v>
                </c:pt>
                <c:pt idx="31">
                  <c:v>5.69</c:v>
                </c:pt>
                <c:pt idx="32">
                  <c:v>291.35300000000001</c:v>
                </c:pt>
                <c:pt idx="33">
                  <c:v>244.98199999999997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1-4C17-91FE-8F9097E68F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'2025'!$B$16:$M$16</c:f>
              <c:numCache>
                <c:formatCode>#,##0</c:formatCode>
                <c:ptCount val="12"/>
                <c:pt idx="0">
                  <c:v>172.095</c:v>
                </c:pt>
                <c:pt idx="1">
                  <c:v>187.18799999999999</c:v>
                </c:pt>
                <c:pt idx="2">
                  <c:v>216.68299999999999</c:v>
                </c:pt>
                <c:pt idx="3">
                  <c:v>169.70699999999999</c:v>
                </c:pt>
                <c:pt idx="4">
                  <c:v>143.37700000000001</c:v>
                </c:pt>
                <c:pt idx="5">
                  <c:v>162.38999999999999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0-435C-B9C8-DB88191F0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EE-466E-B2C5-BE4643FEF59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'2025'!$B$15:$M$15</c:f>
              <c:numCache>
                <c:formatCode>#,##0</c:formatCode>
                <c:ptCount val="12"/>
                <c:pt idx="0">
                  <c:v>5148.4669999999987</c:v>
                </c:pt>
                <c:pt idx="1">
                  <c:v>4695.0320000000002</c:v>
                </c:pt>
                <c:pt idx="2">
                  <c:v>5103.1990000000005</c:v>
                </c:pt>
                <c:pt idx="3">
                  <c:v>4568.7609999999995</c:v>
                </c:pt>
                <c:pt idx="4">
                  <c:v>4728.1330000000007</c:v>
                </c:pt>
                <c:pt idx="5">
                  <c:v>4883.1480000000001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E-466E-B2C5-BE4643FEF5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368.34000000000003</c:v>
                </c:pt>
                <c:pt idx="1">
                  <c:v>305.411</c:v>
                </c:pt>
                <c:pt idx="2">
                  <c:v>232.244</c:v>
                </c:pt>
                <c:pt idx="3" formatCode="#,##0">
                  <c:v>140.89499999999998</c:v>
                </c:pt>
                <c:pt idx="4" formatCode="#,##0">
                  <c:v>120.10500000000002</c:v>
                </c:pt>
                <c:pt idx="5" formatCode="#,##0">
                  <c:v>86.990999999999985</c:v>
                </c:pt>
                <c:pt idx="6" formatCode="#,##0">
                  <c:v>40.245000000000005</c:v>
                </c:pt>
                <c:pt idx="7" formatCode="#,##0">
                  <c:v>27.536000000000001</c:v>
                </c:pt>
                <c:pt idx="8" formatCode="#,##0">
                  <c:v>5.8159999999999998</c:v>
                </c:pt>
                <c:pt idx="9" formatCode="#,##0">
                  <c:v>0.91199999999999992</c:v>
                </c:pt>
                <c:pt idx="10" formatCode="0">
                  <c:v>0.67200000000000004</c:v>
                </c:pt>
                <c:pt idx="11" formatCode="0">
                  <c:v>0.59899999999999998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57871</c:v>
                </c:pt>
                <c:pt idx="1">
                  <c:v>59054</c:v>
                </c:pt>
                <c:pt idx="2">
                  <c:v>64726</c:v>
                </c:pt>
                <c:pt idx="3" formatCode="#,##0">
                  <c:v>64171</c:v>
                </c:pt>
                <c:pt idx="4" formatCode="#,##0">
                  <c:v>65958</c:v>
                </c:pt>
                <c:pt idx="5" formatCode="#,##0">
                  <c:v>67586</c:v>
                </c:pt>
                <c:pt idx="6" formatCode="#,##0">
                  <c:v>66319</c:v>
                </c:pt>
                <c:pt idx="7" formatCode="#,##0">
                  <c:v>54852</c:v>
                </c:pt>
                <c:pt idx="8" formatCode="#,##0">
                  <c:v>56171.787000000004</c:v>
                </c:pt>
                <c:pt idx="9" formatCode="#,##0">
                  <c:v>63595.529000000002</c:v>
                </c:pt>
                <c:pt idx="10" formatCode="0">
                  <c:v>61558.654000000002</c:v>
                </c:pt>
                <c:pt idx="11" formatCode="0">
                  <c:v>64588.152999999998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148.95000000000002</c:v>
                </c:pt>
                <c:pt idx="1">
                  <c:v>197.20900000000003</c:v>
                </c:pt>
                <c:pt idx="2">
                  <c:v>225.935</c:v>
                </c:pt>
                <c:pt idx="3" formatCode="#,##0">
                  <c:v>213.608</c:v>
                </c:pt>
                <c:pt idx="4" formatCode="#,##0">
                  <c:v>188.614</c:v>
                </c:pt>
                <c:pt idx="5" formatCode="#,##0">
                  <c:v>380.85499999999996</c:v>
                </c:pt>
                <c:pt idx="6" formatCode="#,##0">
                  <c:v>454.21</c:v>
                </c:pt>
                <c:pt idx="7" formatCode="#,##0">
                  <c:v>155.31899999999996</c:v>
                </c:pt>
                <c:pt idx="8" formatCode="#,##0">
                  <c:v>315.61900000000003</c:v>
                </c:pt>
                <c:pt idx="9" formatCode="#,##0">
                  <c:v>427.49299999999994</c:v>
                </c:pt>
                <c:pt idx="10" formatCode="0">
                  <c:v>398.375</c:v>
                </c:pt>
                <c:pt idx="11" formatCode="0">
                  <c:v>524.63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2.2000000000000002E-2</c:v>
                </c:pt>
                <c:pt idx="1">
                  <c:v>3.0000000000000002E-2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8477.628999999999</c:v>
                </c:pt>
                <c:pt idx="1">
                  <c:v>8678.8389999999999</c:v>
                </c:pt>
                <c:pt idx="2">
                  <c:v>9285.3820000000014</c:v>
                </c:pt>
                <c:pt idx="3" formatCode="#,##0">
                  <c:v>8672.6139999999996</c:v>
                </c:pt>
                <c:pt idx="4" formatCode="#,##0">
                  <c:v>9300.3379999999997</c:v>
                </c:pt>
                <c:pt idx="5" formatCode="#,##0">
                  <c:v>10038.733</c:v>
                </c:pt>
                <c:pt idx="6" formatCode="#,##0">
                  <c:v>9816.6459999999988</c:v>
                </c:pt>
                <c:pt idx="7" formatCode="#,##0">
                  <c:v>7838.5070000000005</c:v>
                </c:pt>
                <c:pt idx="8" formatCode="#,##0">
                  <c:v>8378.6840000000011</c:v>
                </c:pt>
                <c:pt idx="9" formatCode="#,##0">
                  <c:v>9153.7040000000015</c:v>
                </c:pt>
                <c:pt idx="10" formatCode="0">
                  <c:v>9387.0400000000009</c:v>
                </c:pt>
                <c:pt idx="11" formatCode="0">
                  <c:v>9844.6370000000006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1879.5739999999998</c:v>
                </c:pt>
                <c:pt idx="1">
                  <c:v>1955.3679999999999</c:v>
                </c:pt>
                <c:pt idx="2">
                  <c:v>2363.9790000000003</c:v>
                </c:pt>
                <c:pt idx="3" formatCode="#,##0">
                  <c:v>2365.8740000000003</c:v>
                </c:pt>
                <c:pt idx="4" formatCode="#,##0">
                  <c:v>2346.299</c:v>
                </c:pt>
                <c:pt idx="5" formatCode="#,##0">
                  <c:v>2236.3780000000002</c:v>
                </c:pt>
                <c:pt idx="6" formatCode="#,##0">
                  <c:v>2113.3359999999998</c:v>
                </c:pt>
                <c:pt idx="7" formatCode="#,##0">
                  <c:v>1907.335</c:v>
                </c:pt>
                <c:pt idx="8" formatCode="#,##0">
                  <c:v>1952.643</c:v>
                </c:pt>
                <c:pt idx="9" formatCode="#,##0">
                  <c:v>2704.739</c:v>
                </c:pt>
                <c:pt idx="10" formatCode="0">
                  <c:v>2094.491</c:v>
                </c:pt>
                <c:pt idx="11" formatCode="0">
                  <c:v>2051.183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Evolución_Anual!$A$14</c:f>
              <c:strCache>
                <c:ptCount val="1"/>
                <c:pt idx="0">
                  <c:v>Etano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strRef>
              <c:f>Evolución_Anual!$A$15</c:f>
              <c:strCache>
                <c:ptCount val="1"/>
                <c:pt idx="0">
                  <c:v>Butano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1144.5999999999999</c:v>
                </c:pt>
                <c:pt idx="1">
                  <c:v>1112.5830000000001</c:v>
                </c:pt>
                <c:pt idx="2">
                  <c:v>1173.1079999999999</c:v>
                </c:pt>
                <c:pt idx="3" formatCode="#,##0">
                  <c:v>1178.07</c:v>
                </c:pt>
                <c:pt idx="4" formatCode="#,##0">
                  <c:v>1152.7330000000002</c:v>
                </c:pt>
                <c:pt idx="5" formatCode="#,##0">
                  <c:v>1103.134</c:v>
                </c:pt>
                <c:pt idx="6" formatCode="#,##0">
                  <c:v>958.995</c:v>
                </c:pt>
                <c:pt idx="7" formatCode="#,##0">
                  <c:v>854.30399999999997</c:v>
                </c:pt>
                <c:pt idx="8" formatCode="#,##0">
                  <c:v>1071.2329999999999</c:v>
                </c:pt>
                <c:pt idx="9" formatCode="#,##0">
                  <c:v>1100.6819999999998</c:v>
                </c:pt>
                <c:pt idx="10" formatCode="0">
                  <c:v>1055.7279999999998</c:v>
                </c:pt>
                <c:pt idx="11" formatCode="0">
                  <c:v>1113.3280000000002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strRef>
              <c:f>Evolución_Anual!$A$16</c:f>
              <c:strCache>
                <c:ptCount val="1"/>
                <c:pt idx="0">
                  <c:v>Propano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567.88700000000006</c:v>
                </c:pt>
                <c:pt idx="1">
                  <c:v>462.25600000000003</c:v>
                </c:pt>
                <c:pt idx="2">
                  <c:v>525.89199999999994</c:v>
                </c:pt>
                <c:pt idx="3" formatCode="#,##0">
                  <c:v>362.93</c:v>
                </c:pt>
                <c:pt idx="4" formatCode="#,##0">
                  <c:v>248.26700000000002</c:v>
                </c:pt>
                <c:pt idx="5" formatCode="#,##0">
                  <c:v>207.77599999999998</c:v>
                </c:pt>
                <c:pt idx="6" formatCode="#,##0">
                  <c:v>208.005</c:v>
                </c:pt>
                <c:pt idx="7" formatCode="#,##0">
                  <c:v>65.696000000000026</c:v>
                </c:pt>
                <c:pt idx="8" formatCode="#,##0">
                  <c:v>168.73700000000002</c:v>
                </c:pt>
                <c:pt idx="9" formatCode="#,##0">
                  <c:v>34.631</c:v>
                </c:pt>
                <c:pt idx="10" formatCode="0">
                  <c:v>138.84900000000005</c:v>
                </c:pt>
                <c:pt idx="11" formatCode="0">
                  <c:v>137.88999999999999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6124.0770000000002</c:v>
                </c:pt>
                <c:pt idx="1">
                  <c:v>5890.1620000000003</c:v>
                </c:pt>
                <c:pt idx="2">
                  <c:v>7961.8929999999991</c:v>
                </c:pt>
                <c:pt idx="3" formatCode="#,##0">
                  <c:v>8475.8809999999994</c:v>
                </c:pt>
                <c:pt idx="4" formatCode="#,##0">
                  <c:v>8150.8120000000008</c:v>
                </c:pt>
                <c:pt idx="5" formatCode="#,##0">
                  <c:v>7954.1570000000011</c:v>
                </c:pt>
                <c:pt idx="6" formatCode="#,##0">
                  <c:v>7914.9160000000002</c:v>
                </c:pt>
                <c:pt idx="7" formatCode="#,##0">
                  <c:v>6711.4719999999998</c:v>
                </c:pt>
                <c:pt idx="8" formatCode="#,##0">
                  <c:v>8425.6710000000003</c:v>
                </c:pt>
                <c:pt idx="9" formatCode="#,##0">
                  <c:v>8600.77</c:v>
                </c:pt>
                <c:pt idx="10" formatCode="0">
                  <c:v>8649.3249999999989</c:v>
                </c:pt>
                <c:pt idx="11" formatCode="0">
                  <c:v>8535.6580000000013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3.0000000000000001E-3</c:v>
                </c:pt>
                <c:pt idx="1">
                  <c:v>5.0000000000000001E-3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2436.9259999999999</c:v>
                </c:pt>
                <c:pt idx="1">
                  <c:v>2208.1949999999997</c:v>
                </c:pt>
                <c:pt idx="2">
                  <c:v>1983.4960000000001</c:v>
                </c:pt>
                <c:pt idx="3" formatCode="#,##0">
                  <c:v>2904.6060000000007</c:v>
                </c:pt>
                <c:pt idx="4" formatCode="#,##0">
                  <c:v>2956.1630000000005</c:v>
                </c:pt>
                <c:pt idx="5" formatCode="#,##0">
                  <c:v>3166.7429999999995</c:v>
                </c:pt>
                <c:pt idx="6" formatCode="#,##0">
                  <c:v>3181.0829999999996</c:v>
                </c:pt>
                <c:pt idx="7" formatCode="#,##0">
                  <c:v>3224.8609999999999</c:v>
                </c:pt>
                <c:pt idx="8" formatCode="#,##0">
                  <c:v>3061.7809999999999</c:v>
                </c:pt>
                <c:pt idx="9" formatCode="#,##0">
                  <c:v>2962.4490000000001</c:v>
                </c:pt>
                <c:pt idx="10" formatCode="0">
                  <c:v>2479.116</c:v>
                </c:pt>
                <c:pt idx="11" formatCode="0">
                  <c:v>3020.4830000000002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410.09999999999997</c:v>
                </c:pt>
                <c:pt idx="1">
                  <c:v>329.80400000000003</c:v>
                </c:pt>
                <c:pt idx="2">
                  <c:v>249.31899999999999</c:v>
                </c:pt>
                <c:pt idx="3" formatCode="#,##0">
                  <c:v>268.18200000000002</c:v>
                </c:pt>
                <c:pt idx="4" formatCode="#,##0">
                  <c:v>313.66699999999997</c:v>
                </c:pt>
                <c:pt idx="5" formatCode="#,##0">
                  <c:v>332.56800000000004</c:v>
                </c:pt>
                <c:pt idx="6" formatCode="#,##0">
                  <c:v>282.54199999999997</c:v>
                </c:pt>
                <c:pt idx="7" formatCode="#,##0">
                  <c:v>379.303</c:v>
                </c:pt>
                <c:pt idx="8" formatCode="#,##0">
                  <c:v>377.07799999999992</c:v>
                </c:pt>
                <c:pt idx="9" formatCode="#,##0">
                  <c:v>404.28500000000003</c:v>
                </c:pt>
                <c:pt idx="10" formatCode="0">
                  <c:v>270.95500000000004</c:v>
                </c:pt>
                <c:pt idx="11" formatCode="0">
                  <c:v>365.98799999999989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24.143999999999998</c:v>
                </c:pt>
                <c:pt idx="1">
                  <c:v>221.791</c:v>
                </c:pt>
                <c:pt idx="2">
                  <c:v>122.66900000000001</c:v>
                </c:pt>
                <c:pt idx="3" formatCode="#,##0">
                  <c:v>84.996999999999986</c:v>
                </c:pt>
                <c:pt idx="4" formatCode="#,##0">
                  <c:v>121.81199999999998</c:v>
                </c:pt>
                <c:pt idx="5" formatCode="#,##0">
                  <c:v>53.104000000000006</c:v>
                </c:pt>
                <c:pt idx="6" formatCode="#,##0">
                  <c:v>75.085000000000008</c:v>
                </c:pt>
                <c:pt idx="7" formatCode="#,##0">
                  <c:v>63.033000000000001</c:v>
                </c:pt>
                <c:pt idx="8" formatCode="#,##0">
                  <c:v>44.867999999999995</c:v>
                </c:pt>
                <c:pt idx="9" formatCode="#,##0">
                  <c:v>49.397000000000006</c:v>
                </c:pt>
                <c:pt idx="10" formatCode="0">
                  <c:v>92.393000000000001</c:v>
                </c:pt>
                <c:pt idx="11" formatCode="0">
                  <c:v>111.916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13.891999999999999</c:v>
                </c:pt>
                <c:pt idx="1">
                  <c:v>352.39799999999997</c:v>
                </c:pt>
                <c:pt idx="2">
                  <c:v>634.03700000000003</c:v>
                </c:pt>
                <c:pt idx="3" formatCode="#,##0">
                  <c:v>530.70800000000008</c:v>
                </c:pt>
                <c:pt idx="4" formatCode="#,##0">
                  <c:v>377.63900000000001</c:v>
                </c:pt>
                <c:pt idx="5" formatCode="#,##0">
                  <c:v>782.8570000000002</c:v>
                </c:pt>
                <c:pt idx="6" formatCode="#,##0">
                  <c:v>745.18700000000001</c:v>
                </c:pt>
                <c:pt idx="7" formatCode="#,##0">
                  <c:v>889.81500000000005</c:v>
                </c:pt>
                <c:pt idx="8" formatCode="#,##0">
                  <c:v>898.79899999999998</c:v>
                </c:pt>
                <c:pt idx="9" formatCode="#,##0">
                  <c:v>894.15199999999982</c:v>
                </c:pt>
                <c:pt idx="10" formatCode="0">
                  <c:v>664.36899999999991</c:v>
                </c:pt>
                <c:pt idx="11" formatCode="0">
                  <c:v>661.39700000000005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0.30299999999999999</c:v>
                </c:pt>
                <c:pt idx="1">
                  <c:v>0.17100000000000001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23759.561000000002</c:v>
                </c:pt>
                <c:pt idx="1">
                  <c:v>23998.255999999994</c:v>
                </c:pt>
                <c:pt idx="2">
                  <c:v>24477.329000000005</c:v>
                </c:pt>
                <c:pt idx="3" formatCode="#,##0">
                  <c:v>22853.851999999999</c:v>
                </c:pt>
                <c:pt idx="4" formatCode="#,##0">
                  <c:v>23356.296000000002</c:v>
                </c:pt>
                <c:pt idx="5" formatCode="#,##0">
                  <c:v>22827.504000000001</c:v>
                </c:pt>
                <c:pt idx="6" formatCode="#,##0">
                  <c:v>22851.345999999998</c:v>
                </c:pt>
                <c:pt idx="7" formatCode="#,##0">
                  <c:v>19692.742000000002</c:v>
                </c:pt>
                <c:pt idx="8" formatCode="#,##0">
                  <c:v>19803.856</c:v>
                </c:pt>
                <c:pt idx="9" formatCode="#,##0">
                  <c:v>21713.006999999998</c:v>
                </c:pt>
                <c:pt idx="10" formatCode="0">
                  <c:v>22082.314000000002</c:v>
                </c:pt>
                <c:pt idx="11" formatCode="0">
                  <c:v>20935.054999999997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97.96</c:v>
                </c:pt>
                <c:pt idx="1">
                  <c:v>43.962000000000003</c:v>
                </c:pt>
                <c:pt idx="2">
                  <c:v>0</c:v>
                </c:pt>
                <c:pt idx="3" formatCode="#,##0">
                  <c:v>1.0999999999999999E-2</c:v>
                </c:pt>
                <c:pt idx="4" formatCode="#,##0">
                  <c:v>2.1000000000000001E-2</c:v>
                </c:pt>
                <c:pt idx="5" formatCode="#,##0">
                  <c:v>1.9E-2</c:v>
                </c:pt>
                <c:pt idx="6" formatCode="#,##0">
                  <c:v>3.6999999999999998E-2</c:v>
                </c:pt>
                <c:pt idx="7" formatCode="#,##0">
                  <c:v>0</c:v>
                </c:pt>
                <c:pt idx="8" formatCode="#,##0">
                  <c:v>1.4999999999999999E-2</c:v>
                </c:pt>
                <c:pt idx="9" formatCode="#,##0">
                  <c:v>0</c:v>
                </c:pt>
                <c:pt idx="10" formatCode="0">
                  <c:v>1E-3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10.284000000000001</c:v>
                </c:pt>
                <c:pt idx="1">
                  <c:v>50.414000000000001</c:v>
                </c:pt>
                <c:pt idx="2">
                  <c:v>36.086000000000006</c:v>
                </c:pt>
                <c:pt idx="3" formatCode="#,##0">
                  <c:v>6.875</c:v>
                </c:pt>
                <c:pt idx="4" formatCode="#,##0">
                  <c:v>39.305</c:v>
                </c:pt>
                <c:pt idx="5" formatCode="#,##0">
                  <c:v>70.665000000000006</c:v>
                </c:pt>
                <c:pt idx="6" formatCode="#,##0">
                  <c:v>23.421000000000003</c:v>
                </c:pt>
                <c:pt idx="7" formatCode="#,##0">
                  <c:v>75.243999999999986</c:v>
                </c:pt>
                <c:pt idx="8" formatCode="#,##0">
                  <c:v>74.864000000000004</c:v>
                </c:pt>
                <c:pt idx="9" formatCode="#,##0">
                  <c:v>0.97200000000000031</c:v>
                </c:pt>
                <c:pt idx="10" formatCode="0">
                  <c:v>5.0659999999999998</c:v>
                </c:pt>
                <c:pt idx="11" formatCode="0">
                  <c:v>5.8289999999999997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262.62299999999999</c:v>
                </c:pt>
                <c:pt idx="1">
                  <c:v>156.21599999999998</c:v>
                </c:pt>
                <c:pt idx="2">
                  <c:v>4.4409999999999998</c:v>
                </c:pt>
                <c:pt idx="3" formatCode="#,##0">
                  <c:v>5.1980000000000004</c:v>
                </c:pt>
                <c:pt idx="4" formatCode="#,##0">
                  <c:v>1.8049999999999997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7.0000000000000001E-3</c:v>
                </c:pt>
                <c:pt idx="10" formatCode="0">
                  <c:v>3.0000000000000001E-3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4925.3550000000005</c:v>
                </c:pt>
                <c:pt idx="1">
                  <c:v>4231.1399999999994</c:v>
                </c:pt>
                <c:pt idx="2">
                  <c:v>3943.2400000000002</c:v>
                </c:pt>
                <c:pt idx="3" formatCode="#,##0">
                  <c:v>5097.1839999999993</c:v>
                </c:pt>
                <c:pt idx="4" formatCode="#,##0">
                  <c:v>5491.2370000000001</c:v>
                </c:pt>
                <c:pt idx="5" formatCode="#,##0">
                  <c:v>5929.7330000000002</c:v>
                </c:pt>
                <c:pt idx="6" formatCode="#,##0">
                  <c:v>5032.235999999999</c:v>
                </c:pt>
                <c:pt idx="7" formatCode="#,##0">
                  <c:v>2367.299</c:v>
                </c:pt>
                <c:pt idx="8" formatCode="#,##0">
                  <c:v>2569.741</c:v>
                </c:pt>
                <c:pt idx="9" formatCode="#,##0">
                  <c:v>3641.92</c:v>
                </c:pt>
                <c:pt idx="10" formatCode="0">
                  <c:v>3941.1609999999996</c:v>
                </c:pt>
                <c:pt idx="11" formatCode="0">
                  <c:v>4651.4579999999996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3436.2899999999995</c:v>
                </c:pt>
                <c:pt idx="1">
                  <c:v>3743.6349999999998</c:v>
                </c:pt>
                <c:pt idx="2">
                  <c:v>3659.797</c:v>
                </c:pt>
                <c:pt idx="3" formatCode="#,##0">
                  <c:v>3781.5</c:v>
                </c:pt>
                <c:pt idx="4" formatCode="#,##0">
                  <c:v>3823.3130000000001</c:v>
                </c:pt>
                <c:pt idx="5" formatCode="#,##0">
                  <c:v>3802.1469999999995</c:v>
                </c:pt>
                <c:pt idx="6" formatCode="#,##0">
                  <c:v>3602.9690000000001</c:v>
                </c:pt>
                <c:pt idx="7" formatCode="#,##0">
                  <c:v>3528.8910000000001</c:v>
                </c:pt>
                <c:pt idx="8" formatCode="#,##0">
                  <c:v>2887.1469999999995</c:v>
                </c:pt>
                <c:pt idx="9" formatCode="#,##0">
                  <c:v>3434.0340000000001</c:v>
                </c:pt>
                <c:pt idx="10" formatCode="0">
                  <c:v>3457.4449999999997</c:v>
                </c:pt>
                <c:pt idx="11" formatCode="0">
                  <c:v>3505.3779999999997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190.64699999999996</c:v>
                </c:pt>
                <c:pt idx="1">
                  <c:v>336.96300000000008</c:v>
                </c:pt>
                <c:pt idx="2">
                  <c:v>396.09100000000001</c:v>
                </c:pt>
                <c:pt idx="3" formatCode="#,##0">
                  <c:v>408.81400000000002</c:v>
                </c:pt>
                <c:pt idx="4" formatCode="#,##0">
                  <c:v>399.22699999999998</c:v>
                </c:pt>
                <c:pt idx="5" formatCode="#,##0">
                  <c:v>414.57400000000001</c:v>
                </c:pt>
                <c:pt idx="6" formatCode="#,##0">
                  <c:v>354.22500000000002</c:v>
                </c:pt>
                <c:pt idx="7" formatCode="#,##0">
                  <c:v>316.589</c:v>
                </c:pt>
                <c:pt idx="8" formatCode="#,##0">
                  <c:v>307.51099999999997</c:v>
                </c:pt>
                <c:pt idx="9" formatCode="#,##0">
                  <c:v>341.11200000000002</c:v>
                </c:pt>
                <c:pt idx="10" formatCode="0">
                  <c:v>310.36</c:v>
                </c:pt>
                <c:pt idx="11" formatCode="0">
                  <c:v>280.16399999999999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2073.8830000000003</c:v>
                </c:pt>
                <c:pt idx="1">
                  <c:v>1917.2549999999997</c:v>
                </c:pt>
                <c:pt idx="2">
                  <c:v>2491.1219999999998</c:v>
                </c:pt>
                <c:pt idx="3" formatCode="#,##0">
                  <c:v>2471.4650000000001</c:v>
                </c:pt>
                <c:pt idx="4" formatCode="#,##0">
                  <c:v>2482.5739999999996</c:v>
                </c:pt>
                <c:pt idx="5" formatCode="#,##0">
                  <c:v>2629.5830000000001</c:v>
                </c:pt>
                <c:pt idx="6" formatCode="#,##0">
                  <c:v>2372.59</c:v>
                </c:pt>
                <c:pt idx="7" formatCode="#,##0">
                  <c:v>1907.655</c:v>
                </c:pt>
                <c:pt idx="8" formatCode="#,##0">
                  <c:v>2191.232</c:v>
                </c:pt>
                <c:pt idx="9" formatCode="#,##0">
                  <c:v>1715.5740000000001</c:v>
                </c:pt>
                <c:pt idx="10" formatCode="0">
                  <c:v>1822.5049999999999</c:v>
                </c:pt>
                <c:pt idx="11" formatCode="0">
                  <c:v>1869.1460000000002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180.18800000000002</c:v>
                </c:pt>
                <c:pt idx="1">
                  <c:v>203.84299999999999</c:v>
                </c:pt>
                <c:pt idx="2">
                  <c:v>257.37900000000002</c:v>
                </c:pt>
                <c:pt idx="3" formatCode="#,##0">
                  <c:v>265.14699999999999</c:v>
                </c:pt>
                <c:pt idx="4" formatCode="#,##0">
                  <c:v>255.05499999999998</c:v>
                </c:pt>
                <c:pt idx="5" formatCode="#,##0">
                  <c:v>243.16300000000001</c:v>
                </c:pt>
                <c:pt idx="6" formatCode="#,##0">
                  <c:v>201.55599999999998</c:v>
                </c:pt>
                <c:pt idx="7" formatCode="#,##0">
                  <c:v>129.38900000000001</c:v>
                </c:pt>
                <c:pt idx="8" formatCode="#,##0">
                  <c:v>143.95799999999997</c:v>
                </c:pt>
                <c:pt idx="9" formatCode="#,##0">
                  <c:v>120.07800000000002</c:v>
                </c:pt>
                <c:pt idx="10" formatCode="0">
                  <c:v>122.27900000000001</c:v>
                </c:pt>
                <c:pt idx="11" formatCode="0">
                  <c:v>111.245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36.271000000000001</c:v>
                </c:pt>
                <c:pt idx="1">
                  <c:v>55.038999999999994</c:v>
                </c:pt>
                <c:pt idx="2">
                  <c:v>84.269000000000005</c:v>
                </c:pt>
                <c:pt idx="3" formatCode="#,##0">
                  <c:v>94.957999999999984</c:v>
                </c:pt>
                <c:pt idx="4" formatCode="#,##0">
                  <c:v>88.320999999999984</c:v>
                </c:pt>
                <c:pt idx="5" formatCode="#,##0">
                  <c:v>89.766000000000005</c:v>
                </c:pt>
                <c:pt idx="6" formatCode="#,##0">
                  <c:v>77.551000000000002</c:v>
                </c:pt>
                <c:pt idx="7" formatCode="#,##0">
                  <c:v>72.461000000000013</c:v>
                </c:pt>
                <c:pt idx="8" formatCode="#,##0">
                  <c:v>76.009999999999991</c:v>
                </c:pt>
                <c:pt idx="9" formatCode="#,##0">
                  <c:v>78.824000000000012</c:v>
                </c:pt>
                <c:pt idx="10" formatCode="0">
                  <c:v>68.566999999999993</c:v>
                </c:pt>
                <c:pt idx="11" formatCode="0">
                  <c:v>69.851000000000013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2470.631000000004</c:v>
                </c:pt>
                <c:pt idx="1">
                  <c:v>2455.3649999999948</c:v>
                </c:pt>
                <c:pt idx="2">
                  <c:v>2706.9480000000008</c:v>
                </c:pt>
                <c:pt idx="3" formatCode="#,##0">
                  <c:v>2574.7999999999961</c:v>
                </c:pt>
                <c:pt idx="4" formatCode="#,##0">
                  <c:v>2339.5239999999981</c:v>
                </c:pt>
                <c:pt idx="5" formatCode="#,##0">
                  <c:v>2320.1039999999994</c:v>
                </c:pt>
                <c:pt idx="6" formatCode="#,##0">
                  <c:v>2474.2789999999995</c:v>
                </c:pt>
                <c:pt idx="7" formatCode="#,##0">
                  <c:v>3081.5889999999995</c:v>
                </c:pt>
                <c:pt idx="8" formatCode="#,##0">
                  <c:v>2621.3369999999973</c:v>
                </c:pt>
                <c:pt idx="9" formatCode="#,##0">
                  <c:v>1662.1669999999949</c:v>
                </c:pt>
                <c:pt idx="10" formatCode="0">
                  <c:v>1605.8290000000018</c:v>
                </c:pt>
                <c:pt idx="11" formatCode="0">
                  <c:v>2453.1839999999979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345.08400000000006</c:v>
                </c:pt>
                <c:pt idx="1">
                  <c:v>303.50700000000001</c:v>
                </c:pt>
                <c:pt idx="2">
                  <c:v>1240</c:v>
                </c:pt>
                <c:pt idx="3" formatCode="#,##0">
                  <c:v>1194</c:v>
                </c:pt>
                <c:pt idx="4" formatCode="#,##0">
                  <c:v>1368</c:v>
                </c:pt>
                <c:pt idx="5" formatCode="#,##0">
                  <c:v>1756</c:v>
                </c:pt>
                <c:pt idx="6" formatCode="#,##0">
                  <c:v>1438</c:v>
                </c:pt>
                <c:pt idx="7" formatCode="#,##0">
                  <c:v>1309</c:v>
                </c:pt>
                <c:pt idx="8" formatCode="#,##0">
                  <c:v>1443.748</c:v>
                </c:pt>
                <c:pt idx="9" formatCode="#,##0">
                  <c:v>1678.6889999999999</c:v>
                </c:pt>
                <c:pt idx="10" formatCode="0">
                  <c:v>1641.7580000000003</c:v>
                </c:pt>
                <c:pt idx="11" formatCode="0">
                  <c:v>1735.9580000000001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1287.2289999999998</c:v>
                </c:pt>
                <c:pt idx="1">
                  <c:v>1309.3149999999998</c:v>
                </c:pt>
                <c:pt idx="2">
                  <c:v>1093.296</c:v>
                </c:pt>
                <c:pt idx="3" formatCode="#,##0">
                  <c:v>1019.001</c:v>
                </c:pt>
                <c:pt idx="4" formatCode="#,##0">
                  <c:v>878.40499999999986</c:v>
                </c:pt>
                <c:pt idx="5" formatCode="#,##0">
                  <c:v>1195.105</c:v>
                </c:pt>
                <c:pt idx="6" formatCode="#,##0">
                  <c:v>1095.317</c:v>
                </c:pt>
                <c:pt idx="7" formatCode="#,##0">
                  <c:v>1053.1750000000002</c:v>
                </c:pt>
                <c:pt idx="8" formatCode="#,##0">
                  <c:v>1186.8810000000001</c:v>
                </c:pt>
                <c:pt idx="9" formatCode="#,##0">
                  <c:v>1211.8000000000002</c:v>
                </c:pt>
                <c:pt idx="10" formatCode="0">
                  <c:v>945.81700000000001</c:v>
                </c:pt>
                <c:pt idx="11" formatCode="0">
                  <c:v>1138.0340000000001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59.605999999999995</c:v>
                </c:pt>
                <c:pt idx="1">
                  <c:v>75.36699999999999</c:v>
                </c:pt>
                <c:pt idx="2">
                  <c:v>50.234000000000002</c:v>
                </c:pt>
                <c:pt idx="3" formatCode="#,##0">
                  <c:v>60.134</c:v>
                </c:pt>
                <c:pt idx="4" formatCode="#,##0">
                  <c:v>71.317000000000007</c:v>
                </c:pt>
                <c:pt idx="5" formatCode="#,##0">
                  <c:v>61.750000000000007</c:v>
                </c:pt>
                <c:pt idx="6" formatCode="#,##0">
                  <c:v>77.353999999999999</c:v>
                </c:pt>
                <c:pt idx="7" formatCode="#,##0">
                  <c:v>58.756999999999998</c:v>
                </c:pt>
                <c:pt idx="8" formatCode="#,##0">
                  <c:v>55.305999999999997</c:v>
                </c:pt>
                <c:pt idx="9" formatCode="#,##0">
                  <c:v>66.042999999999992</c:v>
                </c:pt>
                <c:pt idx="10" formatCode="0">
                  <c:v>97.459000000000003</c:v>
                </c:pt>
                <c:pt idx="11" formatCode="0">
                  <c:v>95.51900000000002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61039.340000000004</c:v>
                </c:pt>
                <c:pt idx="1">
                  <c:v>61169.411</c:v>
                </c:pt>
                <c:pt idx="2">
                  <c:v>65663.244000000006</c:v>
                </c:pt>
                <c:pt idx="3" formatCode="#,##0">
                  <c:v>65695.89499999999</c:v>
                </c:pt>
                <c:pt idx="4" formatCode="#,##0">
                  <c:v>66825</c:v>
                </c:pt>
                <c:pt idx="5" formatCode="#,##0">
                  <c:v>68718</c:v>
                </c:pt>
                <c:pt idx="6" formatCode="#,##0">
                  <c:v>66555.244999999995</c:v>
                </c:pt>
                <c:pt idx="7" formatCode="#,##0">
                  <c:v>56614.535999999993</c:v>
                </c:pt>
                <c:pt idx="8" formatCode="#,##0">
                  <c:v>59047.308000000005</c:v>
                </c:pt>
                <c:pt idx="9" formatCode="#,##0">
                  <c:v>63792.228999999999</c:v>
                </c:pt>
                <c:pt idx="10" formatCode="0">
                  <c:v>62465.011999999995</c:v>
                </c:pt>
                <c:pt idx="11" formatCode="0">
                  <c:v>65014.254000000001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strRef>
              <c:f>Evolución_Anual!$A$10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58143</c:v>
                </c:pt>
                <c:pt idx="1">
                  <c:v>59022</c:v>
                </c:pt>
                <c:pt idx="2">
                  <c:v>65031</c:v>
                </c:pt>
                <c:pt idx="3" formatCode="#,##0">
                  <c:v>64988</c:v>
                </c:pt>
                <c:pt idx="4" formatCode="#,##0">
                  <c:v>66038</c:v>
                </c:pt>
                <c:pt idx="5" formatCode="#,##0">
                  <c:v>67894</c:v>
                </c:pt>
                <c:pt idx="6" formatCode="#,##0">
                  <c:v>65648</c:v>
                </c:pt>
                <c:pt idx="7" formatCode="#,##0">
                  <c:v>55153</c:v>
                </c:pt>
                <c:pt idx="8" formatCode="#,##0">
                  <c:v>56922.123999999996</c:v>
                </c:pt>
                <c:pt idx="9" formatCode="#,##0">
                  <c:v>63393.94999999999</c:v>
                </c:pt>
                <c:pt idx="10" formatCode="0">
                  <c:v>61885.819000000003</c:v>
                </c:pt>
                <c:pt idx="11" formatCode="0">
                  <c:v>64336.436999999991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strRef>
              <c:f>Evolución_Anual!$A$11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537.55000000000018</c:v>
                </c:pt>
                <c:pt idx="1">
                  <c:v>606.80799999999999</c:v>
                </c:pt>
                <c:pt idx="2">
                  <c:v>678.15200000000277</c:v>
                </c:pt>
                <c:pt idx="3" formatCode="#,##0">
                  <c:v>740.9360000000006</c:v>
                </c:pt>
                <c:pt idx="4" formatCode="#,##0">
                  <c:v>927.83299999999781</c:v>
                </c:pt>
                <c:pt idx="5" formatCode="#,##0">
                  <c:v>848.35799999999654</c:v>
                </c:pt>
                <c:pt idx="6" formatCode="#,##0">
                  <c:v>1042.3570000000036</c:v>
                </c:pt>
                <c:pt idx="7" formatCode="#,##0">
                  <c:v>807.31799999999839</c:v>
                </c:pt>
                <c:pt idx="8" formatCode="#,##0">
                  <c:v>870.51200000000154</c:v>
                </c:pt>
                <c:pt idx="9" formatCode="#,##0">
                  <c:v>1664.4920000000029</c:v>
                </c:pt>
                <c:pt idx="10" formatCode="0">
                  <c:v>991.699999999998</c:v>
                </c:pt>
                <c:pt idx="11" formatCode="0">
                  <c:v>1487.2070000000012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60501.79</c:v>
                </c:pt>
                <c:pt idx="1">
                  <c:v>60562.602999999988</c:v>
                </c:pt>
                <c:pt idx="2">
                  <c:v>64983.195999999996</c:v>
                </c:pt>
                <c:pt idx="3" formatCode="#,##0">
                  <c:v>64955.064000000006</c:v>
                </c:pt>
                <c:pt idx="4" formatCode="#,##0">
                  <c:v>65897.167000000001</c:v>
                </c:pt>
                <c:pt idx="5" formatCode="#,##0">
                  <c:v>67869.641999999993</c:v>
                </c:pt>
                <c:pt idx="6" formatCode="#,##0">
                  <c:v>65512.642999999996</c:v>
                </c:pt>
                <c:pt idx="7" formatCode="#,##0">
                  <c:v>55806.682000000001</c:v>
                </c:pt>
                <c:pt idx="8" formatCode="#,##0">
                  <c:v>58176.796000000002</c:v>
                </c:pt>
                <c:pt idx="9" formatCode="#,##0">
                  <c:v>62127.737000000001</c:v>
                </c:pt>
                <c:pt idx="10" formatCode="0">
                  <c:v>61473.311999999991</c:v>
                </c:pt>
                <c:pt idx="11" formatCode="0">
                  <c:v>63527.047000000013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'2025'!$AV$3</c:f>
          <c:strCache>
            <c:ptCount val="1"/>
            <c:pt idx="0">
              <c:v>JUNIO 2025</c:v>
            </c:pt>
          </c:strCache>
        </c:strRef>
      </c:tx>
      <c:layout>
        <c:manualLayout>
          <c:xMode val="edge"/>
          <c:yMode val="edge"/>
          <c:x val="0.4151123953286085"/>
          <c:y val="2.933333157355341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'2025'!$AU$6:$AU$8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'2025'!$AV$6:$AV$8</c:f>
              <c:numCache>
                <c:formatCode>0.0</c:formatCode>
                <c:ptCount val="3"/>
                <c:pt idx="0">
                  <c:v>4131.1869999999999</c:v>
                </c:pt>
                <c:pt idx="1">
                  <c:v>4921.1400000000003</c:v>
                </c:pt>
                <c:pt idx="2">
                  <c:v>4883.1480000000001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F-4A6D-8908-A288F82BD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'2025'!$AV$3</c:f>
          <c:strCache>
            <c:ptCount val="1"/>
            <c:pt idx="0">
              <c:v>JUNIO 2025</c:v>
            </c:pt>
          </c:strCache>
        </c:strRef>
      </c:tx>
      <c:overlay val="0"/>
      <c:txPr>
        <a:bodyPr/>
        <a:lstStyle/>
        <a:p>
          <a:pPr marL="0" marR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7C9-4766-97D6-48B08579E0D5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C9-4766-97D6-48B08579E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'2025'!$AU$11:$AU$15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'2025'!$AV$11:$AV$15</c:f>
              <c:numCache>
                <c:formatCode>0.0</c:formatCode>
                <c:ptCount val="5"/>
                <c:pt idx="0">
                  <c:v>91.760000000000218</c:v>
                </c:pt>
                <c:pt idx="1">
                  <c:v>-442.20400000000001</c:v>
                </c:pt>
                <c:pt idx="2">
                  <c:v>-239.61200000000002</c:v>
                </c:pt>
                <c:pt idx="3">
                  <c:v>16.376999999999999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9-4766-97D6-48B08579E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'2025'!$AV$3</c:f>
          <c:strCache>
            <c:ptCount val="1"/>
            <c:pt idx="0">
              <c:v>JUNIO 2025</c:v>
            </c:pt>
          </c:strCache>
        </c:strRef>
      </c:tx>
      <c:layout>
        <c:manualLayout>
          <c:xMode val="edge"/>
          <c:yMode val="edge"/>
          <c:x val="0.61518858948305954"/>
          <c:y val="2.901333114019964E-2"/>
        </c:manualLayout>
      </c:layout>
      <c:overlay val="0"/>
      <c:txPr>
        <a:bodyPr/>
        <a:lstStyle/>
        <a:p>
          <a:pPr marL="0" marR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'2025'!$AU$17:$AU$50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'2025'!$AV$17:$AV$50</c:f>
              <c:numCache>
                <c:formatCode>0.0</c:formatCode>
                <c:ptCount val="34"/>
                <c:pt idx="0">
                  <c:v>162.38999999999999</c:v>
                </c:pt>
                <c:pt idx="1">
                  <c:v>0</c:v>
                </c:pt>
                <c:pt idx="2">
                  <c:v>81.649000000000001</c:v>
                </c:pt>
                <c:pt idx="3">
                  <c:v>10.674999999999997</c:v>
                </c:pt>
                <c:pt idx="4">
                  <c:v>125.089</c:v>
                </c:pt>
                <c:pt idx="5">
                  <c:v>0</c:v>
                </c:pt>
                <c:pt idx="6">
                  <c:v>91.144000000000005</c:v>
                </c:pt>
                <c:pt idx="7">
                  <c:v>4.9489999999999998</c:v>
                </c:pt>
                <c:pt idx="8">
                  <c:v>0</c:v>
                </c:pt>
                <c:pt idx="9">
                  <c:v>602.87</c:v>
                </c:pt>
                <c:pt idx="10">
                  <c:v>0</c:v>
                </c:pt>
                <c:pt idx="11">
                  <c:v>0</c:v>
                </c:pt>
                <c:pt idx="12">
                  <c:v>41.771000000000001</c:v>
                </c:pt>
                <c:pt idx="13">
                  <c:v>0</c:v>
                </c:pt>
                <c:pt idx="14">
                  <c:v>710.31600000000003</c:v>
                </c:pt>
                <c:pt idx="15">
                  <c:v>0</c:v>
                </c:pt>
                <c:pt idx="16">
                  <c:v>250.71600000000001</c:v>
                </c:pt>
                <c:pt idx="17">
                  <c:v>38.195999999999998</c:v>
                </c:pt>
                <c:pt idx="18">
                  <c:v>6.3220000000000001</c:v>
                </c:pt>
                <c:pt idx="19">
                  <c:v>74.072000000000003</c:v>
                </c:pt>
                <c:pt idx="20">
                  <c:v>0</c:v>
                </c:pt>
                <c:pt idx="21">
                  <c:v>1562.0510000000002</c:v>
                </c:pt>
                <c:pt idx="22">
                  <c:v>28.972999999999999</c:v>
                </c:pt>
                <c:pt idx="23">
                  <c:v>0</c:v>
                </c:pt>
                <c:pt idx="24">
                  <c:v>2.1000000000000001E-2</c:v>
                </c:pt>
                <c:pt idx="25">
                  <c:v>7.6999999999999999E-2</c:v>
                </c:pt>
                <c:pt idx="26">
                  <c:v>0</c:v>
                </c:pt>
                <c:pt idx="27">
                  <c:v>321.29899999999998</c:v>
                </c:pt>
                <c:pt idx="28">
                  <c:v>25.501999999999999</c:v>
                </c:pt>
                <c:pt idx="29">
                  <c:v>192.636</c:v>
                </c:pt>
                <c:pt idx="30">
                  <c:v>10.404999999999999</c:v>
                </c:pt>
                <c:pt idx="31">
                  <c:v>5.69</c:v>
                </c:pt>
                <c:pt idx="32">
                  <c:v>291.35300000000001</c:v>
                </c:pt>
                <c:pt idx="33">
                  <c:v>244.98199999999997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C-432E-9393-D2E75BCBB1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kt</a:t>
                </a:r>
              </a:p>
            </c:rich>
          </c:tx>
          <c:overlay val="0"/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chart" Target="../charts/chart34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chart" Target="../charts/chart36.xml"/><Relationship Id="rId16" Type="http://schemas.openxmlformats.org/officeDocument/2006/relationships/chart" Target="../charts/chart50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47621</xdr:rowOff>
    </xdr:from>
    <xdr:ext cx="3686175" cy="847721"/>
    <xdr:sp macro="" textlink="">
      <xdr:nvSp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228596"/>
          <a:ext cx="3686175" cy="847721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DIRECCIÓN GENERAL DE PLANIFICACIÓN Y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COORDINACIÓN ENERGÉTICA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SUBDIRECCIÓN GENERAL de Prospectiva y estadísticas energéticas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  <xdr:twoCellAnchor editAs="oneCell">
    <xdr:from>
      <xdr:col>0</xdr:col>
      <xdr:colOff>226219</xdr:colOff>
      <xdr:row>0</xdr:row>
      <xdr:rowOff>130969</xdr:rowOff>
    </xdr:from>
    <xdr:to>
      <xdr:col>4</xdr:col>
      <xdr:colOff>447199</xdr:colOff>
      <xdr:row>5</xdr:row>
      <xdr:rowOff>71120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DB580F-94E9-47C3-B53B-D92CD039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30969"/>
          <a:ext cx="3268980" cy="83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C362803-F016-4F1F-9474-CD640EF0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6034003-95A7-44EF-90B1-C2D9C890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918E05B-0331-4E03-B740-666D897B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4E073480-E071-4CC7-A19A-FBDFC794F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5287E04B-B03B-4142-9FBE-FF306E42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8982ED69-E3E3-46F7-B990-39CD63996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1BF0CEBB-37D6-497A-88C1-6028D6E7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D96D8991-47E7-4555-A1BD-2F2A1C911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789333</xdr:colOff>
      <xdr:row>44</xdr:row>
      <xdr:rowOff>104481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4DCBBE7B-E57E-4C3E-A559-4583BD52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BB038CC-D89A-4551-8AC2-1FD91B20B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36A6EC59-FCBE-4E8C-8201-8FE49085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D241EB8C-9922-4197-885C-0E4FAB21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2CFFB7BE-4A78-444D-B987-46D14774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913FD-A7DA-431E-889D-A53B9B133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7DDCE491-F055-47DE-B3B4-EE132F7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B6B0324-DCFC-45E8-B982-89B1316F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28AC365A-6F9A-4657-AD6D-D4C52228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48DC0D4-C2F2-4602-99DD-579AE4150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1C320643-5C14-4F19-9F9F-B1EDECC8C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958547FD-D826-4B45-8DDD-F02CC4705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6CC7B7D1-38B8-4952-B39B-51AF38938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6CDDDC07-206B-4EB0-B682-2603F0432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2E782B81-0F31-4C3F-AE8E-1457C33C8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4CE74011-ADD6-499D-8F36-1072EEEE8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7C5B5165-5E1A-4B97-83F0-9487FB487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789333</xdr:colOff>
      <xdr:row>44</xdr:row>
      <xdr:rowOff>104481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A720A3DE-83B5-480F-97CE-FBE3490BC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18C54F1F-DC66-4B97-98F6-C6CEE488E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626252AF-F4FC-4DE1-BFBD-2E66A94E8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102EEDD7-86BA-4CAF-A14B-A195C520B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C0D82C2F-3E1F-40EC-B542-0BED4FDA7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323621C-1035-426A-A30B-736F0D240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F3357CB6-1BBA-4115-87EB-3840A4090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505C7B20-46E3-43C6-8749-D1E628ED8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7D6BF78E-7057-424C-B359-CEB46DF1B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51955</xdr:colOff>
      <xdr:row>7</xdr:row>
      <xdr:rowOff>0</xdr:rowOff>
    </xdr:from>
    <xdr:ext cx="5957454" cy="3030682"/>
    <xdr:graphicFrame macro="">
      <xdr:nvGraphicFramePr>
        <xdr:cNvPr id="5" name="Gráfico 19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51956</xdr:colOff>
      <xdr:row>24</xdr:row>
      <xdr:rowOff>86590</xdr:rowOff>
    </xdr:from>
    <xdr:ext cx="5962402" cy="3936321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242455</xdr:colOff>
      <xdr:row>7</xdr:row>
      <xdr:rowOff>11205</xdr:rowOff>
    </xdr:from>
    <xdr:ext cx="7958132" cy="7093324"/>
    <xdr:graphicFrame macro="">
      <xdr:nvGraphicFramePr>
        <xdr:cNvPr id="7" name="Gráfico 2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1"/>
  <sheetViews>
    <sheetView showGridLines="0" zoomScale="80" zoomScaleNormal="80" workbookViewId="0">
      <selection activeCell="O10" sqref="O10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93" t="s">
        <v>59</v>
      </c>
      <c r="C13" s="93"/>
      <c r="D13" s="93"/>
      <c r="E13" s="93"/>
      <c r="F13" s="93"/>
      <c r="G13" s="93"/>
      <c r="H13" s="93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93"/>
      <c r="C14" s="93"/>
      <c r="D14" s="93"/>
      <c r="E14" s="93"/>
      <c r="F14" s="93"/>
      <c r="G14" s="93"/>
      <c r="H14" s="93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94" t="str">
        <f>'2025'!AV3</f>
        <v>JUNIO 2025</v>
      </c>
      <c r="C16" s="94"/>
      <c r="D16" s="94"/>
      <c r="E16" s="94"/>
      <c r="F16" s="94"/>
      <c r="G16" s="94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94"/>
      <c r="C17" s="94"/>
      <c r="D17" s="94"/>
      <c r="E17" s="94"/>
      <c r="F17" s="94"/>
      <c r="G17" s="94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94"/>
      <c r="C18" s="94"/>
      <c r="D18" s="94"/>
      <c r="E18" s="94"/>
      <c r="F18" s="94"/>
      <c r="G18" s="94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95" t="s">
        <v>65</v>
      </c>
      <c r="B34" s="95"/>
      <c r="C34" s="95"/>
      <c r="D34" s="95"/>
      <c r="E34" s="95"/>
      <c r="F34" s="95"/>
      <c r="G34" s="95"/>
      <c r="H34" s="95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showGridLines="0" zoomScale="70" zoomScaleNormal="70" workbookViewId="0">
      <pane xSplit="1" ySplit="4" topLeftCell="B5" activePane="bottomRight" state="frozen"/>
      <selection activeCell="A35" sqref="A35"/>
      <selection pane="topRight" activeCell="A35" sqref="A35"/>
      <selection pane="bottomLeft" activeCell="A35" sqref="A35"/>
      <selection pane="bottomRight" activeCell="A35" sqref="A35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f t="shared" ref="N5:N11" si="0">SUM(B5:M5)</f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f>SUM(B6:M6)</f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f t="shared" si="0"/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f t="shared" si="0"/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f t="shared" si="0"/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f t="shared" si="0"/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f>N5+N6+N7+-N8-N9+N10-N11</f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f>SUM(B13:M13)</f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f>SUM(B14:M14)</f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f>SUM(B15:M15)</f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f>SUM(B16:M16)</f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ref="N17:N49" si="1">SUM(B17:M17)</f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f t="shared" si="1"/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f t="shared" si="1"/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f t="shared" si="1"/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f t="shared" si="1"/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f t="shared" si="1"/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f t="shared" si="1"/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f t="shared" si="1"/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f t="shared" si="1"/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f t="shared" si="1"/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f t="shared" si="1"/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f t="shared" si="1"/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f t="shared" si="1"/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f t="shared" si="1"/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f t="shared" si="1"/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f t="shared" si="1"/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f t="shared" si="1"/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f t="shared" si="1"/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f t="shared" si="1"/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f t="shared" si="1"/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f t="shared" si="1"/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f t="shared" si="1"/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f t="shared" si="1"/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f t="shared" si="1"/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f t="shared" si="1"/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f t="shared" si="1"/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f t="shared" si="1"/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f t="shared" si="1"/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showGridLines="0" zoomScale="70" zoomScaleNormal="70" workbookViewId="0">
      <pane xSplit="1" ySplit="4" topLeftCell="B5" activePane="bottomRight" state="frozen"/>
      <selection activeCell="A35" sqref="A35"/>
      <selection pane="topRight" activeCell="A35" sqref="A35"/>
      <selection pane="bottomLeft" activeCell="A35" sqref="A35"/>
      <selection pane="bottomRight" activeCell="A35" sqref="A35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f t="shared" ref="N5:N49" si="0">SUM(B5:M5)</f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f t="shared" si="0"/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f t="shared" si="0"/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f t="shared" si="0"/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f t="shared" si="0"/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f t="shared" si="0"/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f t="shared" si="0"/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f t="shared" si="0"/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f t="shared" si="0"/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f t="shared" si="0"/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f t="shared" si="0"/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f t="shared" si="0"/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f t="shared" si="0"/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f t="shared" si="0"/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f t="shared" si="0"/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f t="shared" si="0"/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f t="shared" si="0"/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f t="shared" si="0"/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f t="shared" si="0"/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f t="shared" si="0"/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f t="shared" si="0"/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f t="shared" si="0"/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f t="shared" si="0"/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f t="shared" si="0"/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f t="shared" si="0"/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f t="shared" si="0"/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f t="shared" si="0"/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f t="shared" si="0"/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f t="shared" si="0"/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f t="shared" si="0"/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f t="shared" si="0"/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f t="shared" si="0"/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f t="shared" si="0"/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f t="shared" si="0"/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f t="shared" si="0"/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f t="shared" si="0"/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f t="shared" si="0"/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f t="shared" si="0"/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showGridLines="0" zoomScale="70" zoomScaleNormal="70" workbookViewId="0">
      <pane xSplit="1" topLeftCell="B1" activePane="topRight" state="frozen"/>
      <selection activeCell="A35" sqref="A35"/>
      <selection pane="topRight" activeCell="A35" sqref="A35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f t="shared" ref="N5:N49" si="0">SUM(B5:M5)</f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f t="shared" si="0"/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f t="shared" si="0"/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f t="shared" si="0"/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f t="shared" si="0"/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f t="shared" si="0"/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f t="shared" si="0"/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f t="shared" si="0"/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f t="shared" si="0"/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f t="shared" si="0"/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f t="shared" si="0"/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f t="shared" si="0"/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f t="shared" si="0"/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f t="shared" si="0"/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f t="shared" si="0"/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f t="shared" si="0"/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f t="shared" si="0"/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f t="shared" si="0"/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f t="shared" si="0"/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f t="shared" si="0"/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f t="shared" si="0"/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f t="shared" si="0"/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f t="shared" si="0"/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f t="shared" si="0"/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f t="shared" si="0"/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f t="shared" si="0"/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f t="shared" si="0"/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f t="shared" si="0"/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f t="shared" si="0"/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f t="shared" si="0"/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f t="shared" si="0"/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f t="shared" si="0"/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f t="shared" si="0"/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f t="shared" si="0"/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f t="shared" si="0"/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f t="shared" si="0"/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f t="shared" si="0"/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showGridLines="0" zoomScale="70" zoomScaleNormal="70" workbookViewId="0">
      <pane xSplit="1" ySplit="4" topLeftCell="B5" activePane="bottomRight" state="frozen"/>
      <selection activeCell="A35" sqref="A35"/>
      <selection pane="topRight" activeCell="A35" sqref="A35"/>
      <selection pane="bottomLeft" activeCell="A35" sqref="A35"/>
      <selection pane="bottomRight" activeCell="A35" sqref="A35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f>SUM(B5:M5)</f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f t="shared" ref="N6:N15" si="0">SUM(B6:M6)</f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f t="shared" si="0"/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f t="shared" si="0"/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f t="shared" si="0"/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f t="shared" si="0"/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f t="shared" si="0"/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f t="shared" si="0"/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f t="shared" si="0"/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f t="shared" si="0"/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f t="shared" ref="N16:N49" si="1">SUM(B16:M16)</f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1"/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f t="shared" si="1"/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f t="shared" si="1"/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f t="shared" si="1"/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f t="shared" si="1"/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f t="shared" si="1"/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f t="shared" si="1"/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1"/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f t="shared" si="1"/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1"/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f t="shared" si="1"/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f t="shared" si="1"/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f t="shared" si="1"/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f t="shared" si="1"/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f t="shared" si="1"/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1"/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f t="shared" si="1"/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f t="shared" si="1"/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1"/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f t="shared" si="1"/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f t="shared" si="1"/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f t="shared" si="1"/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f t="shared" si="1"/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f t="shared" si="1"/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f t="shared" si="1"/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f t="shared" si="1"/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f t="shared" si="1"/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f t="shared" si="1"/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showGridLines="0" zoomScale="70" zoomScaleNormal="70" workbookViewId="0">
      <pane xSplit="1" ySplit="4" topLeftCell="B5" activePane="bottomRight" state="frozen"/>
      <selection activeCell="A35" sqref="A35"/>
      <selection pane="topRight" activeCell="A35" sqref="A35"/>
      <selection pane="bottomLeft" activeCell="A35" sqref="A35"/>
      <selection pane="bottomRight" activeCell="A35" sqref="A35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f>SUM(B5:M5)</f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f>SUM(B6:M6)</f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f t="shared" ref="N7:N49" si="0">SUM(B7:M7)</f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f t="shared" si="0"/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f t="shared" si="0"/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f t="shared" si="0"/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f>SUM(B12:M12)</f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f t="shared" si="0"/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f t="shared" si="0"/>
        <v>740.9360000000006</v>
      </c>
      <c r="P14" s="36"/>
    </row>
    <row r="15" spans="1:27" s="32" customFormat="1" ht="21" customHeight="1" x14ac:dyDescent="0.2">
      <c r="A15" s="22" t="s">
        <v>9</v>
      </c>
      <c r="B15" s="24">
        <f t="shared" ref="B15:M15" si="1">SUM(B16:B49)</f>
        <v>5191.5580000000009</v>
      </c>
      <c r="C15" s="24">
        <f t="shared" si="1"/>
        <v>4965.8440000000001</v>
      </c>
      <c r="D15" s="24">
        <f t="shared" si="1"/>
        <v>5489</v>
      </c>
      <c r="E15" s="24">
        <f t="shared" si="1"/>
        <v>5109.125</v>
      </c>
      <c r="F15" s="24">
        <f t="shared" si="1"/>
        <v>5068</v>
      </c>
      <c r="G15" s="24">
        <f t="shared" si="1"/>
        <v>5037</v>
      </c>
      <c r="H15" s="24">
        <f t="shared" si="1"/>
        <v>5755.3339999999998</v>
      </c>
      <c r="I15" s="24">
        <f t="shared" si="1"/>
        <v>5558</v>
      </c>
      <c r="J15" s="24">
        <f t="shared" si="1"/>
        <v>5297</v>
      </c>
      <c r="K15" s="24">
        <f t="shared" si="1"/>
        <v>5926</v>
      </c>
      <c r="L15" s="24">
        <f t="shared" si="1"/>
        <v>5739.2029999999986</v>
      </c>
      <c r="M15" s="24">
        <f t="shared" si="1"/>
        <v>5819</v>
      </c>
      <c r="N15" s="25">
        <f t="shared" si="0"/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f t="shared" si="0"/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f t="shared" si="0"/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f t="shared" si="0"/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f t="shared" si="0"/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f t="shared" si="0"/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f t="shared" si="0"/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f t="shared" si="0"/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f t="shared" si="0"/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f t="shared" si="0"/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f t="shared" si="0"/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f t="shared" si="0"/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f t="shared" si="0"/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f t="shared" si="0"/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f t="shared" si="0"/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f t="shared" si="0"/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f t="shared" si="0"/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f t="shared" si="0"/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f t="shared" si="0"/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f t="shared" si="0"/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f t="shared" si="0"/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f t="shared" si="0"/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f t="shared" si="0"/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f t="shared" si="0"/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f t="shared" si="0"/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showGridLines="0" zoomScale="70" zoomScaleNormal="70" workbookViewId="0">
      <pane xSplit="1" ySplit="4" topLeftCell="B5" activePane="bottomRight" state="frozen"/>
      <selection activeCell="A35" sqref="A35"/>
      <selection pane="topRight" activeCell="A35" sqref="A35"/>
      <selection pane="bottomLeft" activeCell="A35" sqref="A35"/>
      <selection pane="bottomRight" activeCell="A35" sqref="A35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f>SUM(B5:M5)</f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f>SUM(B6:M6)</f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f t="shared" ref="N7:N49" si="0">SUM(B7:M7)</f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f t="shared" si="0"/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f t="shared" si="0"/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f t="shared" si="0"/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f>SUM(B12:M12)</f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f t="shared" si="0"/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f t="shared" si="0"/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5390</v>
      </c>
      <c r="C15" s="24">
        <f t="shared" si="1"/>
        <v>4573</v>
      </c>
      <c r="D15" s="24">
        <f t="shared" si="1"/>
        <v>5544.3590000000004</v>
      </c>
      <c r="E15" s="24">
        <f t="shared" si="1"/>
        <v>5610</v>
      </c>
      <c r="F15" s="24">
        <f t="shared" si="1"/>
        <v>5398.7489999999998</v>
      </c>
      <c r="G15" s="24">
        <f t="shared" si="1"/>
        <v>5288.9940000000006</v>
      </c>
      <c r="H15" s="24">
        <f t="shared" si="1"/>
        <v>5834.4629999999997</v>
      </c>
      <c r="I15" s="24">
        <f t="shared" si="1"/>
        <v>5954.8749999999991</v>
      </c>
      <c r="J15" s="24">
        <f t="shared" si="1"/>
        <v>5703</v>
      </c>
      <c r="K15" s="24">
        <f t="shared" si="1"/>
        <v>5419.8030000000017</v>
      </c>
      <c r="L15" s="24">
        <f t="shared" si="1"/>
        <v>5254</v>
      </c>
      <c r="M15" s="24">
        <f t="shared" si="1"/>
        <v>5925.9240000000009</v>
      </c>
      <c r="N15" s="25">
        <f t="shared" si="0"/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f t="shared" si="0"/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f t="shared" si="0"/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f t="shared" si="0"/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f t="shared" si="0"/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f t="shared" si="0"/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f t="shared" si="0"/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f t="shared" si="0"/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f t="shared" si="0"/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f t="shared" si="0"/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f t="shared" si="0"/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f t="shared" si="0"/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f t="shared" si="0"/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f t="shared" si="0"/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f t="shared" si="0"/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f t="shared" si="0"/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f t="shared" si="0"/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f t="shared" si="0"/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f t="shared" si="0"/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f t="shared" si="0"/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f t="shared" si="0"/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f t="shared" si="0"/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f t="shared" si="0"/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f t="shared" si="0"/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showGridLines="0" zoomScale="70" zoomScaleNormal="70" workbookViewId="0">
      <pane xSplit="1" ySplit="4" topLeftCell="B5" activePane="bottomRight" state="frozen"/>
      <selection activeCell="A35" sqref="A35"/>
      <selection pane="topRight" activeCell="A35" sqref="A35"/>
      <selection pane="bottomLeft" activeCell="A35" sqref="A35"/>
      <selection pane="bottomRight" activeCell="A35" sqref="A35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f>SUM(B5:M5)</f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f>SUM(B6:M6)</f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f t="shared" ref="N7:N49" si="0">SUM(B7:M7)</f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f t="shared" si="0"/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f t="shared" si="0"/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f t="shared" si="0"/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f>SUM(B12:M12)</f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f t="shared" si="0"/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f t="shared" si="0"/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5921</v>
      </c>
      <c r="C15" s="24">
        <f t="shared" si="1"/>
        <v>4934.6929999999993</v>
      </c>
      <c r="D15" s="24">
        <f t="shared" si="1"/>
        <v>5533.5639999999994</v>
      </c>
      <c r="E15" s="24">
        <f t="shared" si="1"/>
        <v>5608</v>
      </c>
      <c r="F15" s="24">
        <f t="shared" si="1"/>
        <v>5844.9500000000016</v>
      </c>
      <c r="G15" s="24">
        <f t="shared" si="1"/>
        <v>5122.4360000000015</v>
      </c>
      <c r="H15" s="24">
        <f t="shared" si="1"/>
        <v>5451.4400000000005</v>
      </c>
      <c r="I15" s="24">
        <f t="shared" si="1"/>
        <v>6162.0160000000005</v>
      </c>
      <c r="J15" s="24">
        <f t="shared" si="1"/>
        <v>5712.3310000000001</v>
      </c>
      <c r="K15" s="24">
        <f t="shared" si="1"/>
        <v>5976.1059999999998</v>
      </c>
      <c r="L15" s="24">
        <f t="shared" si="1"/>
        <v>5659.1060000000007</v>
      </c>
      <c r="M15" s="24">
        <f t="shared" si="1"/>
        <v>5944</v>
      </c>
      <c r="N15" s="25">
        <f t="shared" si="0"/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f t="shared" si="0"/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f t="shared" si="0"/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f t="shared" si="0"/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f t="shared" si="0"/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f t="shared" si="0"/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f t="shared" si="0"/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f t="shared" si="0"/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f t="shared" si="0"/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f t="shared" si="0"/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f t="shared" si="0"/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f t="shared" si="0"/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f t="shared" si="0"/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f t="shared" si="0"/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f t="shared" si="0"/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f t="shared" si="0"/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f t="shared" si="0"/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f t="shared" si="0"/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f t="shared" si="0"/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f t="shared" si="0"/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f t="shared" si="0"/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f t="shared" si="0"/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f t="shared" si="0"/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f t="shared" si="0"/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showGridLines="0" zoomScale="70" zoomScaleNormal="70" workbookViewId="0">
      <pane xSplit="1" ySplit="4" topLeftCell="B5" activePane="bottomRight" state="frozen"/>
      <selection activeCell="A35" sqref="A35"/>
      <selection pane="topRight" activeCell="A35" sqref="A35"/>
      <selection pane="bottomLeft" activeCell="A35" sqref="A35"/>
      <selection pane="bottomRight" activeCell="A35" sqref="A35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f>SUM(B5:M5)</f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f>SUM(B6:M6)</f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f t="shared" ref="N7:N49" si="0">SUM(B7:M7)</f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f t="shared" si="0"/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f t="shared" si="0"/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f t="shared" si="0"/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f>SUM(B12:M12)</f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f t="shared" si="0"/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f t="shared" si="0"/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f t="shared" ref="B15:M15" si="1">SUM(B16:B49)</f>
        <v>5749.3989999999985</v>
      </c>
      <c r="C15" s="24">
        <f t="shared" si="1"/>
        <v>4812.8449999999993</v>
      </c>
      <c r="D15" s="24">
        <f t="shared" si="1"/>
        <v>5660</v>
      </c>
      <c r="E15" s="24">
        <f t="shared" si="1"/>
        <v>5771</v>
      </c>
      <c r="F15" s="24">
        <f t="shared" si="1"/>
        <v>5453.86</v>
      </c>
      <c r="G15" s="24">
        <f t="shared" si="1"/>
        <v>5030</v>
      </c>
      <c r="H15" s="24">
        <f t="shared" si="1"/>
        <v>5506.027</v>
      </c>
      <c r="I15" s="24">
        <f t="shared" si="1"/>
        <v>5975.422999999998</v>
      </c>
      <c r="J15" s="24">
        <f t="shared" si="1"/>
        <v>5479</v>
      </c>
      <c r="K15" s="24">
        <f t="shared" si="1"/>
        <v>5548.95</v>
      </c>
      <c r="L15" s="24">
        <f t="shared" si="1"/>
        <v>4898</v>
      </c>
      <c r="M15" s="24">
        <f t="shared" si="1"/>
        <v>5628.139000000001</v>
      </c>
      <c r="N15" s="25">
        <f t="shared" si="0"/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f t="shared" si="0"/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f t="shared" si="0"/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f t="shared" si="0"/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f t="shared" si="0"/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f t="shared" si="0"/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f t="shared" si="0"/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f t="shared" si="0"/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f t="shared" si="0"/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f t="shared" si="0"/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f t="shared" si="0"/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f t="shared" si="0"/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f t="shared" si="0"/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f t="shared" si="0"/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f t="shared" si="0"/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f t="shared" si="0"/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f t="shared" si="0"/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f t="shared" si="0"/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f t="shared" si="0"/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f t="shared" si="0"/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f t="shared" si="0"/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f t="shared" si="0"/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f t="shared" si="0"/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f t="shared" si="0"/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f t="shared" si="0"/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showGridLines="0" zoomScale="70" zoomScaleNormal="70" workbookViewId="0">
      <pane xSplit="1" ySplit="4" topLeftCell="B5" activePane="bottomRight" state="frozen"/>
      <selection activeCell="A35" sqref="A35"/>
      <selection pane="topRight" activeCell="A35" sqref="A35"/>
      <selection pane="bottomLeft" activeCell="A35" sqref="A35"/>
      <selection pane="bottomRight" activeCell="A35" sqref="A35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f>SUM(B5:M5)</f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f>SUM(B6:M6)</f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f t="shared" ref="N7:N49" si="0">SUM(B7:M7)</f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f t="shared" si="0"/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f t="shared" si="0"/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f t="shared" si="0"/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f>SUM(B12:M12)</f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f t="shared" si="0"/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f t="shared" si="0"/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J15" si="1">SUM(B16:B49)</f>
        <v>5460</v>
      </c>
      <c r="C15" s="24">
        <f t="shared" si="1"/>
        <v>4785.7240000000011</v>
      </c>
      <c r="D15" s="24">
        <f t="shared" si="1"/>
        <v>5274</v>
      </c>
      <c r="E15" s="24">
        <f t="shared" si="1"/>
        <v>4327.835</v>
      </c>
      <c r="F15" s="24">
        <f t="shared" si="1"/>
        <v>4496</v>
      </c>
      <c r="G15" s="24">
        <f t="shared" si="1"/>
        <v>4362.8879999999999</v>
      </c>
      <c r="H15" s="24">
        <f t="shared" si="1"/>
        <v>4463.0480000000007</v>
      </c>
      <c r="I15" s="24">
        <f t="shared" si="1"/>
        <v>4787</v>
      </c>
      <c r="J15" s="24">
        <f t="shared" si="1"/>
        <v>4360.7210000000005</v>
      </c>
      <c r="K15" s="24">
        <f>SUM(K16:K49)</f>
        <v>4446.058</v>
      </c>
      <c r="L15" s="24">
        <f>SUM(L16:L49)</f>
        <v>4444.9110000000001</v>
      </c>
      <c r="M15" s="24">
        <f>SUM(M16:M49)</f>
        <v>4598.4969999999994</v>
      </c>
      <c r="N15" s="25">
        <f t="shared" si="0"/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f t="shared" si="0"/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f t="shared" si="0"/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f t="shared" si="0"/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f t="shared" si="0"/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f t="shared" si="0"/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f t="shared" si="0"/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f t="shared" si="0"/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f t="shared" si="0"/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f t="shared" si="0"/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f t="shared" si="0"/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f t="shared" si="0"/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f t="shared" si="0"/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f t="shared" si="0"/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f t="shared" si="0"/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f t="shared" si="0"/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f t="shared" si="0"/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f t="shared" si="0"/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f t="shared" si="0"/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f t="shared" si="0"/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f t="shared" si="0"/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f t="shared" si="0"/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f t="shared" si="0"/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f t="shared" si="0"/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showGridLines="0" zoomScale="70" zoomScaleNormal="70" workbookViewId="0">
      <pane xSplit="1" ySplit="4" topLeftCell="B5" activePane="bottomRight" state="frozen"/>
      <selection activeCell="A35" sqref="A35"/>
      <selection pane="topRight" activeCell="A35" sqref="A35"/>
      <selection pane="bottomLeft" activeCell="A35" sqref="A35"/>
      <selection pane="bottomRight" activeCell="A35" sqref="A35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f>SUM(B5:M5)</f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f>SUM(B6:M6)</f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f t="shared" ref="N7:N49" si="0">SUM(B7:M7)</f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f t="shared" si="0"/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f t="shared" si="0"/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f t="shared" si="0"/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f>SUM(B12:M12)</f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f t="shared" si="0"/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f t="shared" si="0"/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4403.5120000000006</v>
      </c>
      <c r="C15" s="24">
        <f t="shared" si="1"/>
        <v>4155.1409999999996</v>
      </c>
      <c r="D15" s="24">
        <f t="shared" si="1"/>
        <v>4567.9399999999996</v>
      </c>
      <c r="E15" s="24">
        <f t="shared" si="1"/>
        <v>4482.3039999999992</v>
      </c>
      <c r="F15" s="24">
        <f t="shared" si="1"/>
        <v>4655.55</v>
      </c>
      <c r="G15" s="24">
        <f t="shared" si="1"/>
        <v>4394.4980000000005</v>
      </c>
      <c r="H15" s="24">
        <f t="shared" si="1"/>
        <v>5168.9000000000005</v>
      </c>
      <c r="I15" s="24">
        <f t="shared" si="1"/>
        <v>5352.9120000000003</v>
      </c>
      <c r="J15" s="24">
        <f t="shared" si="1"/>
        <v>5186.6859999999997</v>
      </c>
      <c r="K15" s="24">
        <f t="shared" si="1"/>
        <v>5153.8510000000006</v>
      </c>
      <c r="L15" s="24">
        <f t="shared" si="1"/>
        <v>5209.3809999999994</v>
      </c>
      <c r="M15" s="24">
        <f t="shared" si="1"/>
        <v>5446.1209999999992</v>
      </c>
      <c r="N15" s="25">
        <f t="shared" si="0"/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f t="shared" si="0"/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f t="shared" si="0"/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f t="shared" si="0"/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f t="shared" si="0"/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f t="shared" si="0"/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f t="shared" si="0"/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f t="shared" si="0"/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f t="shared" si="0"/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f t="shared" si="0"/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f t="shared" si="0"/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f t="shared" si="0"/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f t="shared" si="0"/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f t="shared" si="0"/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f t="shared" si="0"/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f t="shared" si="0"/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f t="shared" si="0"/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f t="shared" si="0"/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f t="shared" si="0"/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f t="shared" si="0"/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f t="shared" si="0"/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f t="shared" si="0"/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f t="shared" si="0"/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f t="shared" si="0"/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f t="shared" si="0"/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showGridLines="0" zoomScale="70" zoomScaleNormal="70" workbookViewId="0">
      <pane xSplit="1" ySplit="4" topLeftCell="B5" activePane="bottomRight" state="frozen"/>
      <selection activeCell="A35" sqref="A35"/>
      <selection pane="topRight" activeCell="A35" sqref="A35"/>
      <selection pane="bottomLeft" activeCell="A35" sqref="A35"/>
      <selection pane="bottomRight" activeCell="A35" sqref="A35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A250"/>
  <sheetViews>
    <sheetView showGridLines="0" topLeftCell="G1" zoomScale="70" zoomScaleNormal="70" workbookViewId="0">
      <selection activeCell="A35" sqref="A35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0.25" customWidth="1"/>
    <col min="15" max="15" width="3.75" customWidth="1"/>
    <col min="27" max="27" width="13.125" customWidth="1"/>
    <col min="43" max="43" width="9.75" customWidth="1"/>
    <col min="44" max="47" width="18.875" style="1" customWidth="1"/>
    <col min="48" max="48" width="13.75" style="1" customWidth="1"/>
    <col min="49" max="53" width="18.875" style="1" customWidth="1"/>
  </cols>
  <sheetData>
    <row r="1" spans="1:53" ht="20.25" x14ac:dyDescent="0.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Q1" s="53"/>
      <c r="AE1" s="53"/>
    </row>
    <row r="2" spans="1:53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3" x14ac:dyDescent="0.2">
      <c r="AV3" s="82"/>
    </row>
    <row r="4" spans="1:53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3"/>
      <c r="AS4" s="83"/>
      <c r="AT4" s="83"/>
      <c r="AU4" s="83"/>
      <c r="AV4" s="83"/>
      <c r="AW4" s="83"/>
      <c r="AX4" s="83"/>
      <c r="AY4" s="83"/>
      <c r="AZ4" s="83"/>
      <c r="BA4" s="83"/>
    </row>
    <row r="5" spans="1:53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f>SUM(B5:M5)</f>
        <v>0.67200000000000004</v>
      </c>
      <c r="P5" s="34"/>
      <c r="Q5" s="34"/>
      <c r="R5" s="47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f>SUM(B6:M6)</f>
        <v>61558.654000000002</v>
      </c>
      <c r="P6" s="34"/>
      <c r="Q6" s="34"/>
      <c r="R6" s="47"/>
      <c r="AR6" s="32"/>
      <c r="AS6" s="32"/>
      <c r="AT6" s="32"/>
      <c r="AU6" s="84"/>
      <c r="AV6" s="85"/>
      <c r="AW6" s="32"/>
      <c r="AX6" s="32"/>
      <c r="AY6" s="32"/>
      <c r="AZ6" s="32"/>
      <c r="BA6" s="32"/>
    </row>
    <row r="7" spans="1:53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f t="shared" ref="N7:N49" si="0">SUM(B7:M7)</f>
        <v>-346.42199999999957</v>
      </c>
      <c r="P7" s="34"/>
      <c r="Q7" s="34"/>
      <c r="R7" s="47"/>
      <c r="AR7" s="32"/>
      <c r="AS7" s="32"/>
      <c r="AT7" s="32"/>
      <c r="AU7" s="84"/>
      <c r="AV7" s="85"/>
      <c r="AW7" s="32"/>
      <c r="AX7" s="32"/>
      <c r="AY7" s="32"/>
      <c r="AZ7" s="32"/>
      <c r="BA7" s="32"/>
    </row>
    <row r="8" spans="1:53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f t="shared" si="0"/>
        <v>-326.49300000000005</v>
      </c>
      <c r="P8" s="34"/>
      <c r="Q8" s="34"/>
      <c r="R8" s="47"/>
      <c r="AR8" s="32"/>
      <c r="AS8" s="32"/>
      <c r="AT8" s="32"/>
      <c r="AU8" s="84"/>
      <c r="AV8" s="85"/>
      <c r="AW8" s="32"/>
      <c r="AX8" s="32"/>
      <c r="AY8" s="32"/>
      <c r="AZ8" s="32"/>
      <c r="BA8" s="32"/>
    </row>
    <row r="9" spans="1:53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f t="shared" si="0"/>
        <v>-25.735999999999933</v>
      </c>
      <c r="P9" s="34"/>
      <c r="Q9" s="34"/>
      <c r="R9" s="47"/>
      <c r="AR9" s="32"/>
      <c r="AS9" s="32"/>
      <c r="AT9" s="32"/>
      <c r="AU9" s="32"/>
      <c r="AV9" s="85"/>
      <c r="AW9" s="32"/>
      <c r="AX9" s="32"/>
      <c r="AY9" s="32"/>
      <c r="AZ9" s="32"/>
      <c r="BA9" s="32"/>
    </row>
    <row r="10" spans="1:53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f t="shared" si="0"/>
        <v>899.87900000000002</v>
      </c>
      <c r="P10" s="34"/>
      <c r="Q10" s="34"/>
      <c r="R10" s="47"/>
      <c r="AR10" s="32"/>
      <c r="AS10" s="32"/>
      <c r="AT10" s="32"/>
      <c r="AU10" s="32"/>
      <c r="AV10" s="85"/>
      <c r="AW10" s="32"/>
      <c r="AX10" s="32"/>
      <c r="AY10" s="32"/>
      <c r="AZ10" s="32"/>
      <c r="BA10" s="32"/>
    </row>
    <row r="11" spans="1:53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55"/>
      <c r="R11" s="47"/>
      <c r="AR11" s="32"/>
      <c r="AS11" s="32"/>
      <c r="AT11" s="32"/>
      <c r="AU11" s="84"/>
      <c r="AV11" s="85"/>
      <c r="AW11" s="32"/>
      <c r="AX11" s="32"/>
      <c r="AY11" s="32"/>
      <c r="AZ11" s="32"/>
      <c r="BA11" s="32"/>
    </row>
    <row r="12" spans="1:53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f>SUM(B12:M12)</f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86"/>
      <c r="AS12" s="86"/>
      <c r="AT12" s="86"/>
      <c r="AU12" s="84"/>
      <c r="AV12" s="87"/>
      <c r="AW12" s="86"/>
      <c r="AX12" s="86"/>
      <c r="AY12" s="86"/>
      <c r="AZ12" s="86"/>
      <c r="BA12" s="86"/>
    </row>
    <row r="13" spans="1:53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f t="shared" si="0"/>
        <v>61885.819000000003</v>
      </c>
      <c r="P13" s="34"/>
      <c r="Q13" s="34"/>
      <c r="R13" s="47"/>
      <c r="AR13" s="32"/>
      <c r="AS13" s="32"/>
      <c r="AT13" s="32"/>
      <c r="AU13" s="84"/>
      <c r="AV13" s="85"/>
      <c r="AW13" s="32"/>
      <c r="AX13" s="32"/>
      <c r="AY13" s="32"/>
      <c r="AZ13" s="32"/>
      <c r="BA13" s="32"/>
    </row>
    <row r="14" spans="1:53" s="21" customFormat="1" ht="21" customHeight="1" x14ac:dyDescent="0.2">
      <c r="A14" s="26" t="s">
        <v>8</v>
      </c>
      <c r="B14" s="27">
        <v>173.92499999999836</v>
      </c>
      <c r="C14" s="28">
        <v>20.082000000001244</v>
      </c>
      <c r="D14" s="28">
        <v>155.42199999999866</v>
      </c>
      <c r="E14" s="28">
        <v>50.17699999999968</v>
      </c>
      <c r="F14" s="28">
        <v>30.166000000001077</v>
      </c>
      <c r="G14" s="28">
        <v>12.653000000002066</v>
      </c>
      <c r="H14" s="28">
        <v>207.57600000000093</v>
      </c>
      <c r="I14" s="46">
        <v>5.1539999999995416</v>
      </c>
      <c r="J14" s="28">
        <v>87.34900000000107</v>
      </c>
      <c r="K14" s="28">
        <v>7.6409999999996217</v>
      </c>
      <c r="L14" s="28">
        <v>148.61899999999878</v>
      </c>
      <c r="M14" s="28">
        <v>83.568999999998596</v>
      </c>
      <c r="N14" s="29">
        <f t="shared" si="0"/>
        <v>982.33299999999963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R14" s="32"/>
      <c r="AS14" s="32"/>
      <c r="AT14" s="32"/>
      <c r="AU14" s="84"/>
      <c r="AV14" s="85"/>
      <c r="AW14" s="32"/>
      <c r="AX14" s="32"/>
      <c r="AY14" s="32"/>
      <c r="AZ14" s="32"/>
      <c r="BA14" s="32"/>
    </row>
    <row r="15" spans="1:53" s="32" customFormat="1" ht="21" customHeight="1" x14ac:dyDescent="0.2">
      <c r="A15" s="22" t="s">
        <v>9</v>
      </c>
      <c r="B15" s="24">
        <v>5189.3350000000009</v>
      </c>
      <c r="C15" s="24">
        <v>4606.6719999999987</v>
      </c>
      <c r="D15" s="24">
        <v>4787.3370000000004</v>
      </c>
      <c r="E15" s="24">
        <v>5208.58</v>
      </c>
      <c r="F15" s="24">
        <v>5021.5209999999997</v>
      </c>
      <c r="G15" s="24">
        <v>4917.6839999999993</v>
      </c>
      <c r="H15" s="24">
        <v>5299.2089999999989</v>
      </c>
      <c r="I15" s="24">
        <v>5535.7529999999997</v>
      </c>
      <c r="J15" s="24">
        <v>5333.7169999999996</v>
      </c>
      <c r="K15" s="24">
        <v>5132.0770000000002</v>
      </c>
      <c r="L15" s="24">
        <v>4955.4100000000008</v>
      </c>
      <c r="M15" s="24">
        <v>5495.3840000000009</v>
      </c>
      <c r="N15" s="25">
        <f t="shared" si="0"/>
        <v>61482.678999999996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U15" s="84"/>
      <c r="AV15" s="85"/>
    </row>
    <row r="16" spans="1:53" ht="16.5" customHeight="1" x14ac:dyDescent="0.2">
      <c r="A16" s="9" t="s">
        <v>14</v>
      </c>
      <c r="B16" s="3">
        <v>231.304</v>
      </c>
      <c r="C16" s="2">
        <v>169.786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f t="shared" si="0"/>
        <v>2094.3510000000001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8"/>
      <c r="AV17" s="89"/>
      <c r="AW17" s="89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f t="shared" si="0"/>
        <v>1055.7279999999998</v>
      </c>
      <c r="AU18" s="88"/>
      <c r="AV18" s="89"/>
      <c r="AW18" s="89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8.9720000000000084</v>
      </c>
      <c r="L19" s="2">
        <v>38.56</v>
      </c>
      <c r="M19" s="2">
        <v>35.778000000000006</v>
      </c>
      <c r="N19" s="4">
        <f t="shared" si="0"/>
        <v>138.79500000000002</v>
      </c>
      <c r="AU19" s="88"/>
      <c r="AV19" s="89"/>
      <c r="AW19" s="89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f t="shared" si="0"/>
        <v>1641.7580000000003</v>
      </c>
      <c r="AU20" s="88"/>
      <c r="AV20" s="89"/>
      <c r="AW20" s="89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AU21" s="88"/>
      <c r="AV21" s="89"/>
      <c r="AW21" s="89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107.002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f t="shared" si="0"/>
        <v>945.81299999999999</v>
      </c>
      <c r="AU22" s="88"/>
      <c r="AV22" s="89"/>
      <c r="AW22" s="89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f t="shared" si="0"/>
        <v>97.459000000000003</v>
      </c>
      <c r="AU23" s="88"/>
      <c r="AV23" s="89"/>
      <c r="AW23" s="89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AU24" s="88"/>
      <c r="AV24" s="89"/>
      <c r="AW24" s="89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f t="shared" si="0"/>
        <v>8649.3249999999989</v>
      </c>
      <c r="AU25" s="88"/>
      <c r="AV25" s="89"/>
      <c r="AW25" s="89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AU26" s="88"/>
      <c r="AV26" s="89"/>
      <c r="AW26" s="89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AU27" s="88"/>
      <c r="AV27" s="89"/>
      <c r="AW27" s="89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f t="shared" si="0"/>
        <v>398.375</v>
      </c>
      <c r="AU28" s="88"/>
      <c r="AV28" s="89"/>
      <c r="AW28" s="89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AU29" s="88"/>
      <c r="AV29" s="89"/>
      <c r="AW29" s="89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f t="shared" si="0"/>
        <v>9387.0400000000009</v>
      </c>
      <c r="AU30" s="88"/>
      <c r="AV30" s="89"/>
      <c r="AW30" s="89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AU31" s="88"/>
      <c r="AV31" s="89"/>
      <c r="AW31" s="89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288.99900000000002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83.578999999999994</v>
      </c>
      <c r="M32" s="2">
        <v>202.62200000000001</v>
      </c>
      <c r="N32" s="4">
        <f t="shared" si="0"/>
        <v>2491.8160000000003</v>
      </c>
      <c r="AU32" s="88"/>
      <c r="AV32" s="89"/>
      <c r="AW32" s="89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f t="shared" si="0"/>
        <v>270.95500000000004</v>
      </c>
      <c r="AU33" s="88"/>
      <c r="AV33" s="89"/>
      <c r="AW33" s="89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f t="shared" si="0"/>
        <v>92.393000000000001</v>
      </c>
      <c r="AU34" s="88"/>
      <c r="AV34" s="89"/>
      <c r="AW34" s="89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f t="shared" si="0"/>
        <v>664.36899999999991</v>
      </c>
      <c r="AU35" s="88"/>
      <c r="AV35" s="89"/>
      <c r="AW35" s="89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  <c r="AU36" s="88"/>
      <c r="AV36" s="89"/>
      <c r="AW36" s="89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1891.0509999999999</v>
      </c>
      <c r="F37" s="2">
        <v>1748.0620000000001</v>
      </c>
      <c r="G37" s="2">
        <v>1789.0219999999999</v>
      </c>
      <c r="H37" s="2">
        <v>1852.098</v>
      </c>
      <c r="I37" s="2">
        <v>1945.722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f t="shared" si="0"/>
        <v>22059.61</v>
      </c>
      <c r="AU37" s="88"/>
      <c r="AV37" s="89"/>
      <c r="AW37" s="89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12.53</v>
      </c>
      <c r="G38" s="2">
        <v>9.94</v>
      </c>
      <c r="H38" s="2">
        <v>9.2560000000000002</v>
      </c>
      <c r="I38" s="2">
        <v>8.7309999999999999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f t="shared" si="0"/>
        <v>151.49299999999999</v>
      </c>
      <c r="AU38" s="88"/>
      <c r="AV38" s="89"/>
      <c r="AW38" s="89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  <c r="AU39" s="88"/>
      <c r="AV39" s="89"/>
      <c r="AW39" s="89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f t="shared" si="0"/>
        <v>1E-3</v>
      </c>
      <c r="AU40" s="88"/>
      <c r="AV40" s="89"/>
      <c r="AW40" s="89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f t="shared" si="0"/>
        <v>5.0659999999999998</v>
      </c>
      <c r="AU41" s="88"/>
      <c r="AV41" s="89"/>
      <c r="AW41" s="89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3.0000000000000001E-3</v>
      </c>
      <c r="AU42" s="88"/>
      <c r="AV42" s="89"/>
      <c r="AW42" s="89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f t="shared" si="0"/>
        <v>3941.1609999999996</v>
      </c>
      <c r="AU43" s="88"/>
      <c r="AV43" s="89"/>
      <c r="AW43" s="89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f t="shared" si="0"/>
        <v>310.36</v>
      </c>
      <c r="AU44" s="88"/>
      <c r="AV44" s="89"/>
      <c r="AW44" s="89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f t="shared" si="0"/>
        <v>1822.5049999999999</v>
      </c>
      <c r="AU45" s="88"/>
      <c r="AV45" s="89"/>
      <c r="AW45" s="89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f t="shared" si="0"/>
        <v>122.27900000000001</v>
      </c>
      <c r="AU46" s="88"/>
      <c r="AV46" s="89"/>
      <c r="AW46" s="89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f t="shared" si="0"/>
        <v>68.566999999999993</v>
      </c>
      <c r="AU47" s="88"/>
      <c r="AV47" s="89"/>
      <c r="AW47" s="89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306.91699999999997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f t="shared" si="0"/>
        <v>3437.4449999999997</v>
      </c>
      <c r="AU48" s="88"/>
      <c r="AV48" s="89"/>
      <c r="AW48" s="89"/>
    </row>
    <row r="49" spans="1:49" ht="18" customHeight="1" x14ac:dyDescent="0.2">
      <c r="A49" s="10" t="s">
        <v>52</v>
      </c>
      <c r="B49" s="7">
        <v>98.734000000002197</v>
      </c>
      <c r="C49" s="5">
        <v>160.85099999999875</v>
      </c>
      <c r="D49" s="5">
        <v>152.20700000000002</v>
      </c>
      <c r="E49" s="5">
        <v>68.241000000000895</v>
      </c>
      <c r="F49" s="5">
        <v>94.30699999999888</v>
      </c>
      <c r="G49" s="5">
        <v>41.46100000000115</v>
      </c>
      <c r="H49" s="5">
        <v>185.905</v>
      </c>
      <c r="I49" s="5">
        <v>210.77000000000004</v>
      </c>
      <c r="J49" s="5">
        <v>126.13699999999997</v>
      </c>
      <c r="K49" s="5">
        <v>195.59100000000004</v>
      </c>
      <c r="L49" s="5">
        <v>124.83499999999998</v>
      </c>
      <c r="M49" s="5">
        <v>176.97300000000087</v>
      </c>
      <c r="N49" s="6">
        <f t="shared" si="0"/>
        <v>1636.0120000000029</v>
      </c>
      <c r="AU49" s="88"/>
      <c r="AV49" s="89"/>
      <c r="AW49" s="89"/>
    </row>
    <row r="50" spans="1:49" x14ac:dyDescent="0.2">
      <c r="F50" s="41"/>
      <c r="AU50" s="88"/>
      <c r="AW50" s="89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C67-58B8-4005-8104-43BA27B6D527}">
  <sheetPr>
    <pageSetUpPr fitToPage="1"/>
  </sheetPr>
  <dimension ref="A1:BI250"/>
  <sheetViews>
    <sheetView showGridLines="0" zoomScale="70" zoomScaleNormal="70" workbookViewId="0">
      <selection activeCell="N49" sqref="N5:N49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2" customWidth="1"/>
    <col min="47" max="47" width="36.75" style="72" customWidth="1"/>
    <col min="48" max="48" width="12.625" style="72" customWidth="1"/>
    <col min="49" max="49" width="11.5" style="72" customWidth="1"/>
    <col min="50" max="50" width="11.5" style="1"/>
    <col min="51" max="51" width="11.5" style="72"/>
    <col min="52" max="61" width="11.5" style="1"/>
  </cols>
  <sheetData>
    <row r="1" spans="1:61" ht="20.25" x14ac:dyDescent="0.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Q1" s="53" t="str">
        <f>"MOVIMIENTO DE CRUDOS Y OBTENCIÓN DE PRODUCTOS PETROLÍFEROS - " &amp;AV3</f>
        <v>MOVIMIENTO DE CRUDOS Y OBTENCIÓN DE PRODUCTOS PETROLÍFEROS - DICIEMBRE 2024</v>
      </c>
      <c r="AE1" s="53" t="s">
        <v>62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3" t="str">
        <f>UPPER(TEXT(MAXA(B4:M4),"mmmm aaaa"))</f>
        <v>DICIEMBRE 2024</v>
      </c>
    </row>
    <row r="4" spans="1:61" s="16" customFormat="1" ht="21" customHeight="1" x14ac:dyDescent="0.2">
      <c r="A4" s="11" t="s">
        <v>13</v>
      </c>
      <c r="B4" s="12">
        <v>45292</v>
      </c>
      <c r="C4" s="13">
        <v>45323</v>
      </c>
      <c r="D4" s="13">
        <v>45352</v>
      </c>
      <c r="E4" s="14">
        <v>45383</v>
      </c>
      <c r="F4" s="14">
        <v>45413</v>
      </c>
      <c r="G4" s="14">
        <v>45444</v>
      </c>
      <c r="H4" s="14">
        <v>45474</v>
      </c>
      <c r="I4" s="14">
        <v>45505</v>
      </c>
      <c r="J4" s="14">
        <v>45536</v>
      </c>
      <c r="K4" s="14">
        <v>45566</v>
      </c>
      <c r="L4" s="14">
        <v>45597</v>
      </c>
      <c r="M4" s="14">
        <v>45627</v>
      </c>
      <c r="N4" s="15" t="s">
        <v>61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3"/>
      <c r="AT4" s="74"/>
      <c r="AU4" s="74"/>
      <c r="AV4" s="74"/>
      <c r="AW4" s="74"/>
      <c r="AX4" s="83"/>
      <c r="AY4" s="74"/>
      <c r="AZ4" s="83"/>
      <c r="BA4" s="83"/>
      <c r="BB4" s="83"/>
      <c r="BC4" s="83"/>
      <c r="BD4" s="83"/>
      <c r="BE4" s="83"/>
      <c r="BF4" s="83"/>
      <c r="BG4" s="83"/>
      <c r="BH4" s="83"/>
      <c r="BI4" s="83"/>
    </row>
    <row r="5" spans="1:61" s="21" customFormat="1" ht="21" customHeight="1" x14ac:dyDescent="0.2">
      <c r="A5" s="17" t="s">
        <v>0</v>
      </c>
      <c r="B5" s="18">
        <v>0</v>
      </c>
      <c r="C5" s="19">
        <v>7.5999999999999998E-2</v>
      </c>
      <c r="D5" s="19">
        <v>3.5999999999999997E-2</v>
      </c>
      <c r="E5" s="19">
        <v>5.1999999999999998E-2</v>
      </c>
      <c r="F5" s="19">
        <v>6.9000000000000006E-2</v>
      </c>
      <c r="G5" s="19">
        <v>0</v>
      </c>
      <c r="H5" s="19">
        <v>0</v>
      </c>
      <c r="I5" s="45">
        <v>0</v>
      </c>
      <c r="J5" s="19">
        <v>0</v>
      </c>
      <c r="K5" s="19">
        <v>0.121</v>
      </c>
      <c r="L5" s="19">
        <v>2.1999999999999999E-2</v>
      </c>
      <c r="M5" s="19">
        <v>0.223</v>
      </c>
      <c r="N5" s="20">
        <f>SUM(B5:M5)</f>
        <v>0.59899999999999998</v>
      </c>
      <c r="P5" s="34"/>
      <c r="Q5" s="34"/>
      <c r="R5" s="47"/>
      <c r="AS5" s="32"/>
      <c r="AT5" s="75"/>
      <c r="AU5" s="75"/>
      <c r="AV5" s="75"/>
      <c r="AW5" s="75"/>
      <c r="AX5" s="32"/>
      <c r="AY5" s="75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6240.1289999999999</v>
      </c>
      <c r="C6" s="24">
        <v>5087.451</v>
      </c>
      <c r="D6" s="24">
        <v>5060.8040000000001</v>
      </c>
      <c r="E6" s="24">
        <v>6008.4449999999997</v>
      </c>
      <c r="F6" s="24">
        <v>5922.1580000000004</v>
      </c>
      <c r="G6" s="24">
        <v>5076.2169999999996</v>
      </c>
      <c r="H6" s="24">
        <v>4951.8909999999996</v>
      </c>
      <c r="I6" s="24">
        <v>5766.31</v>
      </c>
      <c r="J6" s="24">
        <v>4670.3940000000002</v>
      </c>
      <c r="K6" s="24">
        <v>4962.3389999999999</v>
      </c>
      <c r="L6" s="24">
        <v>5467.8580000000002</v>
      </c>
      <c r="M6" s="24">
        <v>5234.32</v>
      </c>
      <c r="N6" s="25">
        <f>SUM(B6:M6)</f>
        <v>64448.315999999999</v>
      </c>
      <c r="P6" s="34"/>
      <c r="Q6" s="34"/>
      <c r="R6" s="47"/>
      <c r="AS6" s="32"/>
      <c r="AT6" s="75"/>
      <c r="AU6" s="76" t="str">
        <f>A6</f>
        <v>IMPORTACIONES DE CRUDO</v>
      </c>
      <c r="AV6" s="77">
        <f>HLOOKUP(MAXA(B4:M4),$B$4:$M$6,3,FALSE)</f>
        <v>5234.32</v>
      </c>
      <c r="AW6" s="75"/>
      <c r="AX6" s="32"/>
      <c r="AY6" s="75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120.79399999999987</v>
      </c>
      <c r="C7" s="28">
        <v>16.909999999999854</v>
      </c>
      <c r="D7" s="28">
        <v>-95.347999999999956</v>
      </c>
      <c r="E7" s="28">
        <v>73.523000000000138</v>
      </c>
      <c r="F7" s="28">
        <v>25.162999999999556</v>
      </c>
      <c r="G7" s="28">
        <v>-117.7579999999989</v>
      </c>
      <c r="H7" s="28">
        <v>81.727000000000771</v>
      </c>
      <c r="I7" s="28">
        <v>93.736999999999171</v>
      </c>
      <c r="J7" s="28">
        <v>-144.60600000000068</v>
      </c>
      <c r="K7" s="28">
        <v>67.46100000000024</v>
      </c>
      <c r="L7" s="28">
        <v>-2.4160000000001673</v>
      </c>
      <c r="M7" s="28">
        <v>-7.6350000000002183</v>
      </c>
      <c r="N7" s="29">
        <f t="shared" ref="N7:N49" si="0">SUM(B7:M7)</f>
        <v>111.55199999999968</v>
      </c>
      <c r="P7" s="34"/>
      <c r="Q7" s="34"/>
      <c r="R7" s="47"/>
      <c r="AS7" s="32"/>
      <c r="AT7" s="75"/>
      <c r="AU7" s="76" t="str">
        <f>A12</f>
        <v>TOTAL PROCESADO</v>
      </c>
      <c r="AV7" s="77">
        <f>HLOOKUP(MAXA(B4:M4),$B$4:$M$12,9,FALSE)</f>
        <v>5482.2209999999995</v>
      </c>
      <c r="AW7" s="75"/>
      <c r="AX7" s="32"/>
      <c r="AY7" s="75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518.52800000000002</v>
      </c>
      <c r="C8" s="28">
        <v>-393.85</v>
      </c>
      <c r="D8" s="28">
        <v>-256.63900000000001</v>
      </c>
      <c r="E8" s="28">
        <v>769.74</v>
      </c>
      <c r="F8" s="28">
        <v>38.106999999999999</v>
      </c>
      <c r="G8" s="28">
        <v>37.000999999999998</v>
      </c>
      <c r="H8" s="28">
        <v>-476.55399999999997</v>
      </c>
      <c r="I8" s="28">
        <v>276.88</v>
      </c>
      <c r="J8" s="28">
        <v>-344.17</v>
      </c>
      <c r="K8" s="28">
        <v>-299.13099999999997</v>
      </c>
      <c r="L8" s="28">
        <v>389.70400000000001</v>
      </c>
      <c r="M8" s="28">
        <v>-7.3010000000000002</v>
      </c>
      <c r="N8" s="29">
        <f t="shared" si="0"/>
        <v>252.315</v>
      </c>
      <c r="P8" s="34"/>
      <c r="Q8" s="34"/>
      <c r="R8" s="47"/>
      <c r="AS8" s="32"/>
      <c r="AT8" s="75"/>
      <c r="AU8" s="76" t="str">
        <f>A15</f>
        <v>PRODUCCION BRUTA DE REFINERIA</v>
      </c>
      <c r="AV8" s="77">
        <f>HLOOKUP(MAXA(B4:M4),$B$4:$M$15,12,FALSE)</f>
        <v>5415.1689999999999</v>
      </c>
      <c r="AW8" s="75"/>
      <c r="AX8" s="32"/>
      <c r="AY8" s="75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149.529</v>
      </c>
      <c r="C9" s="28">
        <v>33.624000000000024</v>
      </c>
      <c r="D9" s="28">
        <v>-72.738999999999976</v>
      </c>
      <c r="E9" s="28">
        <v>124.71199999999999</v>
      </c>
      <c r="F9" s="28">
        <v>8.1450000000000031</v>
      </c>
      <c r="G9" s="28">
        <v>-61.539000000000001</v>
      </c>
      <c r="H9" s="28">
        <v>-38.465000000000032</v>
      </c>
      <c r="I9" s="28">
        <v>31.04000000000002</v>
      </c>
      <c r="J9" s="28">
        <v>-168.59300000000002</v>
      </c>
      <c r="K9" s="28">
        <v>121.61899999999997</v>
      </c>
      <c r="L9" s="28">
        <v>40.543000000000006</v>
      </c>
      <c r="M9" s="28">
        <v>-196.66900000000001</v>
      </c>
      <c r="N9" s="29">
        <f t="shared" si="0"/>
        <v>-28.793000000000035</v>
      </c>
      <c r="P9" s="34"/>
      <c r="Q9" s="34"/>
      <c r="R9" s="47"/>
      <c r="AS9" s="32"/>
      <c r="AT9" s="75"/>
      <c r="AU9" s="75"/>
      <c r="AV9" s="77"/>
      <c r="AW9" s="75"/>
      <c r="AX9" s="32"/>
      <c r="AY9" s="75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43.488</v>
      </c>
      <c r="C10" s="28">
        <v>22.417999999999999</v>
      </c>
      <c r="D10" s="28">
        <v>30.14</v>
      </c>
      <c r="E10" s="28">
        <v>55.326999999999998</v>
      </c>
      <c r="F10" s="28">
        <v>27.544999999999998</v>
      </c>
      <c r="G10" s="28">
        <v>88.7</v>
      </c>
      <c r="H10" s="28">
        <v>48.823999999999998</v>
      </c>
      <c r="I10" s="28">
        <v>19.875</v>
      </c>
      <c r="J10" s="28">
        <v>41.548999999999999</v>
      </c>
      <c r="K10" s="28">
        <v>57.52</v>
      </c>
      <c r="L10" s="28">
        <v>50.742999999999995</v>
      </c>
      <c r="M10" s="28">
        <v>51.342999999999996</v>
      </c>
      <c r="N10" s="29">
        <f t="shared" si="0"/>
        <v>537.47199999999998</v>
      </c>
      <c r="P10" s="34"/>
      <c r="Q10" s="34"/>
      <c r="R10" s="47"/>
      <c r="AS10" s="32"/>
      <c r="AT10" s="75"/>
      <c r="AU10" s="75"/>
      <c r="AV10" s="77"/>
      <c r="AW10" s="75"/>
      <c r="AX10" s="32"/>
      <c r="AY10" s="75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55"/>
      <c r="R11" s="47"/>
      <c r="AS11" s="32"/>
      <c r="AT11" s="75"/>
      <c r="AU11" s="76" t="str">
        <f>A7</f>
        <v>IMPORTACIONES DE PROD. INTERMEDIOS Y MAT. AUXILIARES</v>
      </c>
      <c r="AV11" s="77">
        <f>HLOOKUP(MAXA(B4:M4),$B$4:$M$15,4,FALSE)</f>
        <v>-7.6350000000002183</v>
      </c>
      <c r="AW11" s="75"/>
      <c r="AX11" s="32"/>
      <c r="AY11" s="75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5736.3540000000003</v>
      </c>
      <c r="C12" s="24">
        <v>5487.0810000000001</v>
      </c>
      <c r="D12" s="24">
        <v>5325.01</v>
      </c>
      <c r="E12" s="24">
        <v>5242.8949999999995</v>
      </c>
      <c r="F12" s="24">
        <v>5928.683</v>
      </c>
      <c r="G12" s="24">
        <v>5071.6970000000001</v>
      </c>
      <c r="H12" s="24">
        <v>5597.4610000000002</v>
      </c>
      <c r="I12" s="24">
        <v>5572.0019999999995</v>
      </c>
      <c r="J12" s="24">
        <v>5080.0999999999995</v>
      </c>
      <c r="K12" s="24">
        <v>5264.9530000000013</v>
      </c>
      <c r="L12" s="24">
        <v>5085.9600000000009</v>
      </c>
      <c r="M12" s="24">
        <v>5482.2209999999995</v>
      </c>
      <c r="N12" s="25">
        <f>SUM(B12:M12)</f>
        <v>64874.417000000001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6"/>
      <c r="AT12" s="78"/>
      <c r="AU12" s="76" t="str">
        <f>A8</f>
        <v>VARIACION DE STOCKS DE CRUDOS (Ef-Ei)</v>
      </c>
      <c r="AV12" s="79">
        <f>HLOOKUP(MAXA(B4:M4),$B$4:$M$15,5,FALSE)</f>
        <v>-7.3010000000000002</v>
      </c>
      <c r="AW12" s="78"/>
      <c r="AX12" s="86"/>
      <c r="AY12" s="78"/>
      <c r="AZ12" s="86"/>
      <c r="BA12" s="86"/>
      <c r="BB12" s="86"/>
      <c r="BC12" s="86"/>
      <c r="BD12" s="86"/>
      <c r="BE12" s="86"/>
      <c r="BF12" s="86"/>
      <c r="BG12" s="86"/>
      <c r="BH12" s="86"/>
      <c r="BI12" s="86"/>
    </row>
    <row r="13" spans="1:61" s="21" customFormat="1" ht="21" customHeight="1" x14ac:dyDescent="0.2">
      <c r="A13" s="26" t="s">
        <v>12</v>
      </c>
      <c r="B13" s="27">
        <v>5721.6009999999997</v>
      </c>
      <c r="C13" s="28">
        <v>5481.3770000000004</v>
      </c>
      <c r="D13" s="28">
        <v>5317.4790000000003</v>
      </c>
      <c r="E13" s="28">
        <v>5238.7569999999996</v>
      </c>
      <c r="F13" s="28">
        <v>5884.12</v>
      </c>
      <c r="G13" s="28">
        <v>5039.2160000000003</v>
      </c>
      <c r="H13" s="28">
        <v>5428.4449999999997</v>
      </c>
      <c r="I13" s="28">
        <v>5489.43</v>
      </c>
      <c r="J13" s="28">
        <v>5014.5640000000003</v>
      </c>
      <c r="K13" s="28">
        <v>5261.5910000000003</v>
      </c>
      <c r="L13" s="28">
        <v>5078.1760000000004</v>
      </c>
      <c r="M13" s="28">
        <v>5241.8440000000001</v>
      </c>
      <c r="N13" s="29">
        <f t="shared" si="0"/>
        <v>64196.599999999991</v>
      </c>
      <c r="P13" s="34"/>
      <c r="Q13" s="34"/>
      <c r="R13" s="47"/>
      <c r="AS13" s="32"/>
      <c r="AT13" s="75"/>
      <c r="AU13" s="76" t="str">
        <f>A9</f>
        <v>APROVISIONAMIENTO DE PROD. INTERMEDIOS Y MAT. AUXILIARES</v>
      </c>
      <c r="AV13" s="77">
        <f>HLOOKUP(MAXA(B4:M4),$B$4:$M$15,6,FALSE)</f>
        <v>-196.66900000000001</v>
      </c>
      <c r="AW13" s="75"/>
      <c r="AX13" s="32"/>
      <c r="AY13" s="75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109.16399999999976</v>
      </c>
      <c r="C14" s="28">
        <v>262.67499999999836</v>
      </c>
      <c r="D14" s="28">
        <v>155.60100000000057</v>
      </c>
      <c r="E14" s="28">
        <v>9.2729999999992287</v>
      </c>
      <c r="F14" s="28">
        <v>286.02500000000055</v>
      </c>
      <c r="G14" s="28">
        <v>110.57300000000032</v>
      </c>
      <c r="H14" s="28">
        <v>57.899000000000342</v>
      </c>
      <c r="I14" s="46">
        <v>89.593999999999141</v>
      </c>
      <c r="J14" s="28">
        <v>34.008999999998196</v>
      </c>
      <c r="K14" s="28">
        <v>81.345000000000255</v>
      </c>
      <c r="L14" s="28">
        <v>205.23099999999886</v>
      </c>
      <c r="M14" s="28">
        <v>67.05199999999968</v>
      </c>
      <c r="N14" s="29">
        <f t="shared" si="0"/>
        <v>1468.4409999999953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5"/>
      <c r="AU14" s="76" t="str">
        <f>A10</f>
        <v>PRODUCTOS TRASPASADOS Y BACKFLOWS</v>
      </c>
      <c r="AV14" s="77">
        <f>HLOOKUP(MAXA(B4:M4),$B$4:$M$15,7,FALSE)</f>
        <v>51.342999999999996</v>
      </c>
      <c r="AW14" s="75"/>
      <c r="AX14" s="32"/>
      <c r="AY14" s="75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v>5627.1900000000005</v>
      </c>
      <c r="C15" s="24">
        <v>5224.4060000000009</v>
      </c>
      <c r="D15" s="24">
        <v>5169.4089999999997</v>
      </c>
      <c r="E15" s="24">
        <v>5233.6220000000003</v>
      </c>
      <c r="F15" s="24">
        <v>5642.6579999999994</v>
      </c>
      <c r="G15" s="24">
        <v>4961.1239999999998</v>
      </c>
      <c r="H15" s="24">
        <v>5539.5619999999999</v>
      </c>
      <c r="I15" s="24">
        <v>5482.4080000000004</v>
      </c>
      <c r="J15" s="24">
        <v>5046.0910000000013</v>
      </c>
      <c r="K15" s="24">
        <v>5183.6080000000002</v>
      </c>
      <c r="L15" s="24">
        <v>4880.7290000000012</v>
      </c>
      <c r="M15" s="24">
        <v>5415.1689999999999</v>
      </c>
      <c r="N15" s="25">
        <f t="shared" si="0"/>
        <v>63405.976000000002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5"/>
      <c r="AU15" s="76" t="str">
        <f>A11</f>
        <v>CONSUMO DIRECTO DE CRUDO</v>
      </c>
      <c r="AV15" s="77">
        <f>HLOOKUP(MAXA(B4:M4),$B$4:$M$15,8,FALSE)</f>
        <v>0</v>
      </c>
      <c r="AW15" s="75"/>
      <c r="AY15" s="75"/>
    </row>
    <row r="16" spans="1:61" ht="16.5" customHeight="1" x14ac:dyDescent="0.2">
      <c r="A16" s="9" t="s">
        <v>14</v>
      </c>
      <c r="B16" s="3">
        <v>171.17400000000001</v>
      </c>
      <c r="C16" s="2">
        <v>141.738</v>
      </c>
      <c r="D16" s="2">
        <v>171.87</v>
      </c>
      <c r="E16" s="2">
        <v>170.124</v>
      </c>
      <c r="F16" s="2">
        <v>180.49600000000001</v>
      </c>
      <c r="G16" s="2">
        <v>173.89400000000001</v>
      </c>
      <c r="H16" s="2">
        <v>187.74799999999999</v>
      </c>
      <c r="I16" s="2">
        <v>182.61799999999999</v>
      </c>
      <c r="J16" s="2">
        <v>171.11600000000001</v>
      </c>
      <c r="K16" s="2">
        <v>168.66300000000001</v>
      </c>
      <c r="L16" s="2">
        <v>153.82400000000001</v>
      </c>
      <c r="M16" s="2">
        <v>177.91800000000001</v>
      </c>
      <c r="N16" s="4">
        <f t="shared" si="0"/>
        <v>2051.183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0" t="str">
        <f>A16</f>
        <v>Gas Refinería</v>
      </c>
      <c r="AV17" s="81">
        <f>HLOOKUP(MAXA(B4:M4),$B$4:$M$49,13,FALSE)</f>
        <v>177.91800000000001</v>
      </c>
      <c r="AW17" s="81"/>
    </row>
    <row r="18" spans="1:49" ht="16.5" customHeight="1" x14ac:dyDescent="0.2">
      <c r="A18" s="9" t="s">
        <v>16</v>
      </c>
      <c r="B18" s="3">
        <v>108.21899999999999</v>
      </c>
      <c r="C18" s="2">
        <v>98.212999999999994</v>
      </c>
      <c r="D18" s="2">
        <v>102.102</v>
      </c>
      <c r="E18" s="2">
        <v>82.632000000000005</v>
      </c>
      <c r="F18" s="2">
        <v>86.841999999999999</v>
      </c>
      <c r="G18" s="2">
        <v>74.088999999999999</v>
      </c>
      <c r="H18" s="2">
        <v>93.162000000000006</v>
      </c>
      <c r="I18" s="2">
        <v>83.454999999999998</v>
      </c>
      <c r="J18" s="2">
        <v>83.688000000000002</v>
      </c>
      <c r="K18" s="2">
        <v>88.281000000000006</v>
      </c>
      <c r="L18" s="2">
        <v>98.222999999999999</v>
      </c>
      <c r="M18" s="2">
        <v>115.131</v>
      </c>
      <c r="N18" s="4">
        <f t="shared" si="0"/>
        <v>1114.037</v>
      </c>
      <c r="AU18" s="80" t="str">
        <f t="shared" ref="AU18:AU50" si="1">A17</f>
        <v>Etano</v>
      </c>
      <c r="AV18" s="81">
        <f>HLOOKUP(MAXA(B4:M4),$B$4:$M$49,14,FALSE)</f>
        <v>0</v>
      </c>
      <c r="AW18" s="81"/>
    </row>
    <row r="19" spans="1:49" ht="16.5" customHeight="1" x14ac:dyDescent="0.2">
      <c r="A19" s="9" t="s">
        <v>17</v>
      </c>
      <c r="B19" s="3">
        <v>25.813999999999993</v>
      </c>
      <c r="C19" s="2">
        <v>15.995000000000005</v>
      </c>
      <c r="D19" s="2">
        <v>2.8889999999999958</v>
      </c>
      <c r="E19" s="2">
        <v>8.0939999999999941</v>
      </c>
      <c r="F19" s="2">
        <v>0</v>
      </c>
      <c r="G19" s="2">
        <v>0.72100000000000364</v>
      </c>
      <c r="H19" s="2">
        <v>18.920999999999992</v>
      </c>
      <c r="I19" s="2">
        <v>1.4039999999999964</v>
      </c>
      <c r="J19" s="2">
        <v>0</v>
      </c>
      <c r="K19" s="2">
        <v>26.23899999999999</v>
      </c>
      <c r="L19" s="2">
        <v>13.198999999999998</v>
      </c>
      <c r="M19" s="2">
        <v>25.479000000000013</v>
      </c>
      <c r="N19" s="4">
        <f t="shared" si="0"/>
        <v>138.755</v>
      </c>
      <c r="AU19" s="80" t="str">
        <f t="shared" si="1"/>
        <v>Butano</v>
      </c>
      <c r="AV19" s="81">
        <f>HLOOKUP(MAXA(B4:M4),$B$4:$M$49,15,FALSE)</f>
        <v>115.131</v>
      </c>
      <c r="AW19" s="81"/>
    </row>
    <row r="20" spans="1:49" ht="16.5" customHeight="1" x14ac:dyDescent="0.2">
      <c r="A20" s="9" t="s">
        <v>18</v>
      </c>
      <c r="B20" s="3">
        <v>151.98500000000001</v>
      </c>
      <c r="C20" s="2">
        <v>150.405</v>
      </c>
      <c r="D20" s="2">
        <v>125.714</v>
      </c>
      <c r="E20" s="2">
        <v>152.62799999999999</v>
      </c>
      <c r="F20" s="2">
        <v>162.30500000000001</v>
      </c>
      <c r="G20" s="2">
        <v>137.31100000000001</v>
      </c>
      <c r="H20" s="2">
        <v>142.62</v>
      </c>
      <c r="I20" s="2">
        <v>157.625</v>
      </c>
      <c r="J20" s="2">
        <v>132.96299999999999</v>
      </c>
      <c r="K20" s="2">
        <v>138.797</v>
      </c>
      <c r="L20" s="2">
        <v>111.91200000000001</v>
      </c>
      <c r="M20" s="2">
        <v>164.97399999999999</v>
      </c>
      <c r="N20" s="4">
        <f t="shared" si="0"/>
        <v>1729.239</v>
      </c>
      <c r="AU20" s="80" t="str">
        <f t="shared" si="1"/>
        <v>Propano</v>
      </c>
      <c r="AV20" s="81">
        <f>HLOOKUP(MAXA(B4:M4),$B$4:$M$49,16,FALSE)</f>
        <v>25.479000000000013</v>
      </c>
      <c r="AW20" s="81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AU21" s="80" t="str">
        <f t="shared" si="1"/>
        <v>Nafta</v>
      </c>
      <c r="AV21" s="81">
        <f>HLOOKUP(MAXA(B4:M4),$B$4:$M$49,17,FALSE)</f>
        <v>164.97399999999999</v>
      </c>
      <c r="AW21" s="81"/>
    </row>
    <row r="22" spans="1:49" ht="16.5" customHeight="1" x14ac:dyDescent="0.2">
      <c r="A22" s="9" t="s">
        <v>20</v>
      </c>
      <c r="B22" s="3">
        <v>104.45099999999999</v>
      </c>
      <c r="C22" s="2">
        <v>100.797</v>
      </c>
      <c r="D22" s="2">
        <v>107.002</v>
      </c>
      <c r="E22" s="2">
        <v>102.251</v>
      </c>
      <c r="F22" s="2">
        <v>104.72499999999999</v>
      </c>
      <c r="G22" s="2">
        <v>95.748999999999995</v>
      </c>
      <c r="H22" s="2">
        <v>79.078999999999994</v>
      </c>
      <c r="I22" s="2">
        <v>65.63</v>
      </c>
      <c r="J22" s="2">
        <v>90.228999999999999</v>
      </c>
      <c r="K22" s="2">
        <v>87.45</v>
      </c>
      <c r="L22" s="2">
        <v>103.256</v>
      </c>
      <c r="M22" s="2">
        <v>97.415000000000006</v>
      </c>
      <c r="N22" s="4">
        <f t="shared" si="0"/>
        <v>1138.0340000000001</v>
      </c>
      <c r="AU22" s="80" t="str">
        <f t="shared" si="1"/>
        <v>Gasolina 97 I.O.</v>
      </c>
      <c r="AV22" s="81">
        <f>HLOOKUP(MAXA(B4:M4),$B$4:$M$49,18,FALSE)</f>
        <v>0</v>
      </c>
      <c r="AW22" s="81"/>
    </row>
    <row r="23" spans="1:49" ht="16.5" customHeight="1" x14ac:dyDescent="0.2">
      <c r="A23" s="9" t="s">
        <v>21</v>
      </c>
      <c r="B23" s="3">
        <v>4.3689999999999998</v>
      </c>
      <c r="C23" s="2">
        <v>10.430999999999999</v>
      </c>
      <c r="D23" s="2">
        <v>6.8049999999999997</v>
      </c>
      <c r="E23" s="2">
        <v>8.7070000000000007</v>
      </c>
      <c r="F23" s="2">
        <v>13.742000000000001</v>
      </c>
      <c r="G23" s="2">
        <v>10.093999999999999</v>
      </c>
      <c r="H23" s="2">
        <v>7.5359999999999996</v>
      </c>
      <c r="I23" s="2">
        <v>4.6150000000000002</v>
      </c>
      <c r="J23" s="2">
        <v>12.417</v>
      </c>
      <c r="K23" s="2">
        <v>6.4210000000000003</v>
      </c>
      <c r="L23" s="2">
        <v>4.7949999999999999</v>
      </c>
      <c r="M23" s="2">
        <v>5.5869999999999997</v>
      </c>
      <c r="N23" s="4">
        <f t="shared" si="0"/>
        <v>95.51900000000002</v>
      </c>
      <c r="AU23" s="80" t="str">
        <f t="shared" si="1"/>
        <v>Gasolina 95 I.O.</v>
      </c>
      <c r="AV23" s="81">
        <f>HLOOKUP(MAXA(B4:M4),$B$4:$M$49,19,FALSE)</f>
        <v>97.415000000000006</v>
      </c>
      <c r="AW23" s="81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AU24" s="80" t="str">
        <f t="shared" si="1"/>
        <v>Gasolina 98 I.O.</v>
      </c>
      <c r="AV24" s="81">
        <f>HLOOKUP(MAXA(B4:M4),$B$4:$M$49,20,FALSE)</f>
        <v>5.5869999999999997</v>
      </c>
      <c r="AW24" s="81"/>
    </row>
    <row r="25" spans="1:49" ht="16.5" customHeight="1" x14ac:dyDescent="0.2">
      <c r="A25" s="9" t="s">
        <v>23</v>
      </c>
      <c r="B25" s="3">
        <v>746.77500000000009</v>
      </c>
      <c r="C25" s="2">
        <v>593.98899999999992</v>
      </c>
      <c r="D25" s="2">
        <v>650.19499999999994</v>
      </c>
      <c r="E25" s="2">
        <v>724.36799999999994</v>
      </c>
      <c r="F25" s="2">
        <v>757.63400000000001</v>
      </c>
      <c r="G25" s="2">
        <v>648.99199999999996</v>
      </c>
      <c r="H25" s="2">
        <v>799.53599999999994</v>
      </c>
      <c r="I25" s="2">
        <v>795.476</v>
      </c>
      <c r="J25" s="2">
        <v>722.02499999999998</v>
      </c>
      <c r="K25" s="2">
        <v>670.45699999999999</v>
      </c>
      <c r="L25" s="2">
        <v>674.23</v>
      </c>
      <c r="M25" s="2">
        <v>743.75700000000006</v>
      </c>
      <c r="N25" s="4">
        <f t="shared" si="0"/>
        <v>8527.4339999999993</v>
      </c>
      <c r="AU25" s="80" t="str">
        <f t="shared" si="1"/>
        <v>Gasolina de Aviación</v>
      </c>
      <c r="AV25" s="81">
        <f>HLOOKUP(MAXA(B4:M4),$B$4:$M$49,21,FALSE)</f>
        <v>0</v>
      </c>
      <c r="AW25" s="81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AU26" s="80" t="str">
        <f t="shared" si="1"/>
        <v>Otras Gasolinas</v>
      </c>
      <c r="AV26" s="81">
        <f>HLOOKUP(MAXA(B4:M4),$B$4:$M$49,22,FALSE)</f>
        <v>743.75700000000006</v>
      </c>
      <c r="AW26" s="81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AU27" s="80" t="str">
        <f t="shared" si="1"/>
        <v>Bioetanol</v>
      </c>
      <c r="AV27" s="81">
        <f>HLOOKUP(MAXA(B4:M4),$B$4:$M$49,23,FALSE)</f>
        <v>0</v>
      </c>
      <c r="AW27" s="81"/>
    </row>
    <row r="28" spans="1:49" ht="16.5" customHeight="1" x14ac:dyDescent="0.2">
      <c r="A28" s="9" t="s">
        <v>26</v>
      </c>
      <c r="B28" s="3">
        <v>51.722999999999999</v>
      </c>
      <c r="C28" s="2">
        <v>47.917000000000002</v>
      </c>
      <c r="D28" s="2">
        <v>45.72</v>
      </c>
      <c r="E28" s="2">
        <v>40.491</v>
      </c>
      <c r="F28" s="2">
        <v>40.094000000000001</v>
      </c>
      <c r="G28" s="2">
        <v>39.798999999999999</v>
      </c>
      <c r="H28" s="2">
        <v>41.496000000000002</v>
      </c>
      <c r="I28" s="2">
        <v>35.677</v>
      </c>
      <c r="J28" s="2">
        <v>50.930999999999997</v>
      </c>
      <c r="K28" s="2">
        <v>49.314999999999998</v>
      </c>
      <c r="L28" s="2">
        <v>45.402000000000001</v>
      </c>
      <c r="M28" s="2">
        <v>47.030999999999999</v>
      </c>
      <c r="N28" s="4">
        <f t="shared" si="0"/>
        <v>535.59599999999989</v>
      </c>
      <c r="AU28" s="80" t="str">
        <f t="shared" si="1"/>
        <v>Gasolinas Mezcla</v>
      </c>
      <c r="AV28" s="81">
        <f>HLOOKUP(MAXA(B4:M4),$B$4:$M$49,24,FALSE)</f>
        <v>0</v>
      </c>
      <c r="AW28" s="81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AU29" s="80" t="str">
        <f t="shared" si="1"/>
        <v>Queroseno aviac. Jet A1</v>
      </c>
      <c r="AV29" s="81">
        <f>HLOOKUP(MAXA(B4:M4),$B$4:$M$49,25,FALSE)</f>
        <v>47.030999999999999</v>
      </c>
      <c r="AW29" s="81"/>
    </row>
    <row r="30" spans="1:49" ht="21.75" customHeight="1" x14ac:dyDescent="0.2">
      <c r="A30" s="9" t="s">
        <v>28</v>
      </c>
      <c r="B30" s="3">
        <v>895.24099999999999</v>
      </c>
      <c r="C30" s="2">
        <v>847.84</v>
      </c>
      <c r="D30" s="2">
        <v>801.21</v>
      </c>
      <c r="E30" s="2">
        <v>767.08299999999997</v>
      </c>
      <c r="F30" s="2">
        <v>891.09799999999996</v>
      </c>
      <c r="G30" s="2">
        <v>791.65700000000004</v>
      </c>
      <c r="H30" s="2">
        <v>862.50699999999995</v>
      </c>
      <c r="I30" s="2">
        <v>850.21199999999999</v>
      </c>
      <c r="J30" s="2">
        <v>766.79899999999998</v>
      </c>
      <c r="K30" s="2">
        <v>846.28200000000004</v>
      </c>
      <c r="L30" s="2">
        <v>736.69100000000003</v>
      </c>
      <c r="M30" s="2">
        <v>784.56600000000003</v>
      </c>
      <c r="N30" s="4">
        <f t="shared" si="0"/>
        <v>9841.1860000000015</v>
      </c>
      <c r="AU30" s="80" t="str">
        <f t="shared" si="1"/>
        <v>Queroseno aviac. Jet A2</v>
      </c>
      <c r="AV30" s="81">
        <f>HLOOKUP(MAXA(B4:M4),$B$4:$M$49,26,FALSE)</f>
        <v>0</v>
      </c>
      <c r="AW30" s="81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AU31" s="80" t="str">
        <f t="shared" si="1"/>
        <v>Otros Querosenos</v>
      </c>
      <c r="AV31" s="81">
        <f>HLOOKUP(MAXA(B4:M4),$B$4:$M$49,27,FALSE)</f>
        <v>784.56600000000003</v>
      </c>
      <c r="AW31" s="81"/>
    </row>
    <row r="32" spans="1:49" ht="16.5" customHeight="1" x14ac:dyDescent="0.2">
      <c r="A32" s="9" t="s">
        <v>30</v>
      </c>
      <c r="B32" s="3">
        <v>245.779</v>
      </c>
      <c r="C32" s="2">
        <v>218.411</v>
      </c>
      <c r="D32" s="2">
        <v>268.529</v>
      </c>
      <c r="E32" s="2">
        <v>271.846</v>
      </c>
      <c r="F32" s="2">
        <v>268.11700000000002</v>
      </c>
      <c r="G32" s="2">
        <v>189.79</v>
      </c>
      <c r="H32" s="2">
        <v>250.96199999999999</v>
      </c>
      <c r="I32" s="2">
        <v>263.01499999999999</v>
      </c>
      <c r="J32" s="2">
        <v>251.733</v>
      </c>
      <c r="K32" s="2">
        <v>235.096</v>
      </c>
      <c r="L32" s="2">
        <v>235.828</v>
      </c>
      <c r="M32" s="2">
        <v>244.75200000000001</v>
      </c>
      <c r="N32" s="4">
        <f t="shared" si="0"/>
        <v>2943.8580000000002</v>
      </c>
      <c r="AU32" s="80" t="str">
        <f t="shared" si="1"/>
        <v>Gasóleo A</v>
      </c>
      <c r="AV32" s="81">
        <f>HLOOKUP(MAXA(B4:M4),$B$4:$M$49,28,FALSE)</f>
        <v>0</v>
      </c>
      <c r="AW32" s="81"/>
    </row>
    <row r="33" spans="1:49" ht="16.5" customHeight="1" x14ac:dyDescent="0.2">
      <c r="A33" s="9" t="s">
        <v>31</v>
      </c>
      <c r="B33" s="3">
        <v>35.982999999999997</v>
      </c>
      <c r="C33" s="2">
        <v>46.74</v>
      </c>
      <c r="D33" s="2">
        <v>23.43</v>
      </c>
      <c r="E33" s="2">
        <v>27.341000000000001</v>
      </c>
      <c r="F33" s="2">
        <v>34.960999999999999</v>
      </c>
      <c r="G33" s="2">
        <v>22.378</v>
      </c>
      <c r="H33" s="2">
        <v>28.337</v>
      </c>
      <c r="I33" s="2">
        <v>19.952000000000002</v>
      </c>
      <c r="J33" s="2">
        <v>21.782</v>
      </c>
      <c r="K33" s="2">
        <v>27.518000000000001</v>
      </c>
      <c r="L33" s="2">
        <v>39.524999999999999</v>
      </c>
      <c r="M33" s="2">
        <v>38.040999999999997</v>
      </c>
      <c r="N33" s="4">
        <f t="shared" si="0"/>
        <v>365.98799999999989</v>
      </c>
      <c r="AU33" s="80" t="str">
        <f t="shared" si="1"/>
        <v>Gasóleo A 10 PPM</v>
      </c>
      <c r="AV33" s="81">
        <f>HLOOKUP(MAXA(B4:M4),$B$4:$M$49,29,FALSE)</f>
        <v>244.75200000000001</v>
      </c>
      <c r="AW33" s="81"/>
    </row>
    <row r="34" spans="1:49" ht="16.5" customHeight="1" x14ac:dyDescent="0.2">
      <c r="A34" s="9" t="s">
        <v>32</v>
      </c>
      <c r="B34" s="3">
        <v>13.041</v>
      </c>
      <c r="C34" s="2">
        <v>19.974</v>
      </c>
      <c r="D34" s="2">
        <v>7.0830000000000002</v>
      </c>
      <c r="E34" s="2">
        <v>6.8419999999999996</v>
      </c>
      <c r="F34" s="2">
        <v>7.3479999999999999</v>
      </c>
      <c r="G34" s="2">
        <v>4.2850000000000001</v>
      </c>
      <c r="H34" s="2">
        <v>3.3490000000000002</v>
      </c>
      <c r="I34" s="2">
        <v>2.9279999999999999</v>
      </c>
      <c r="J34" s="2">
        <v>4.9349999999999996</v>
      </c>
      <c r="K34" s="2">
        <v>15.093999999999999</v>
      </c>
      <c r="L34" s="2">
        <v>15.789</v>
      </c>
      <c r="M34" s="2">
        <v>11.247999999999999</v>
      </c>
      <c r="N34" s="4">
        <f t="shared" si="0"/>
        <v>111.916</v>
      </c>
      <c r="AU34" s="80" t="str">
        <f t="shared" si="1"/>
        <v>Gasóleo B</v>
      </c>
      <c r="AV34" s="81">
        <f>HLOOKUP(MAXA(B4:M4),$B$4:$M$49,30,FALSE)</f>
        <v>38.040999999999997</v>
      </c>
      <c r="AW34" s="81"/>
    </row>
    <row r="35" spans="1:49" ht="16.5" customHeight="1" x14ac:dyDescent="0.2">
      <c r="A35" s="9" t="s">
        <v>33</v>
      </c>
      <c r="B35" s="3">
        <v>63.41</v>
      </c>
      <c r="C35" s="2">
        <v>61.116</v>
      </c>
      <c r="D35" s="2">
        <v>61.688000000000002</v>
      </c>
      <c r="E35" s="2">
        <v>54.295999999999999</v>
      </c>
      <c r="F35" s="2">
        <v>24.411000000000001</v>
      </c>
      <c r="G35" s="2">
        <v>31.623000000000001</v>
      </c>
      <c r="H35" s="2">
        <v>46.93</v>
      </c>
      <c r="I35" s="2">
        <v>55.896999999999998</v>
      </c>
      <c r="J35" s="2">
        <v>58.713999999999999</v>
      </c>
      <c r="K35" s="2">
        <v>68.896000000000001</v>
      </c>
      <c r="L35" s="2">
        <v>71.676000000000002</v>
      </c>
      <c r="M35" s="2">
        <v>62.74</v>
      </c>
      <c r="N35" s="4">
        <f t="shared" si="0"/>
        <v>661.39700000000005</v>
      </c>
      <c r="AU35" s="80" t="str">
        <f t="shared" si="1"/>
        <v>Gasóleo C</v>
      </c>
      <c r="AV35" s="81">
        <f>HLOOKUP(MAXA(B4:M4),$B$4:$M$49,31,FALSE)</f>
        <v>11.247999999999999</v>
      </c>
      <c r="AW35" s="81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  <c r="AU36" s="80" t="str">
        <f t="shared" si="1"/>
        <v>Gasóleo para uso marítimo</v>
      </c>
      <c r="AV36" s="81">
        <f>HLOOKUP(MAXA(B4:M4),$B$4:$M$49,32,FALSE)</f>
        <v>62.74</v>
      </c>
      <c r="AW36" s="81"/>
    </row>
    <row r="37" spans="1:49" ht="16.5" customHeight="1" x14ac:dyDescent="0.2">
      <c r="A37" s="9" t="s">
        <v>35</v>
      </c>
      <c r="B37" s="3">
        <v>1932.47</v>
      </c>
      <c r="C37" s="2">
        <v>1785.8960000000002</v>
      </c>
      <c r="D37" s="2">
        <v>1790.7059999999999</v>
      </c>
      <c r="E37" s="2">
        <v>1744.5520000000001</v>
      </c>
      <c r="F37" s="2">
        <v>1900.4830000000002</v>
      </c>
      <c r="G37" s="2">
        <v>1689.923</v>
      </c>
      <c r="H37" s="2">
        <v>1784.0399999999997</v>
      </c>
      <c r="I37" s="2">
        <v>1765.1760000000002</v>
      </c>
      <c r="J37" s="2">
        <v>1620.6510000000001</v>
      </c>
      <c r="K37" s="2">
        <v>1733.66</v>
      </c>
      <c r="L37" s="2">
        <v>1528.5329999999999</v>
      </c>
      <c r="M37" s="2">
        <v>1780.252</v>
      </c>
      <c r="N37" s="4">
        <f t="shared" si="0"/>
        <v>21056.342000000001</v>
      </c>
      <c r="AU37" s="80" t="str">
        <f t="shared" si="1"/>
        <v>Diésel para uso marítimo</v>
      </c>
      <c r="AV37" s="81">
        <f>HLOOKUP(MAXA(B4:M4),$B$4:$M$49,33,FALSE)</f>
        <v>0</v>
      </c>
      <c r="AW37" s="81"/>
    </row>
    <row r="38" spans="1:49" ht="16.5" customHeight="1" x14ac:dyDescent="0.2">
      <c r="A38" s="9" t="s">
        <v>36</v>
      </c>
      <c r="B38" s="3">
        <v>8.4109999999999996</v>
      </c>
      <c r="C38" s="2">
        <v>7.27</v>
      </c>
      <c r="D38" s="2">
        <v>18.771000000000001</v>
      </c>
      <c r="E38" s="2">
        <v>29.706</v>
      </c>
      <c r="F38" s="2">
        <v>38.770000000000003</v>
      </c>
      <c r="G38" s="2">
        <v>37.173000000000002</v>
      </c>
      <c r="H38" s="2">
        <v>38.064</v>
      </c>
      <c r="I38" s="2">
        <v>40.988</v>
      </c>
      <c r="J38" s="2">
        <v>27.469000000000001</v>
      </c>
      <c r="K38" s="2">
        <v>23.576000000000001</v>
      </c>
      <c r="L38" s="2">
        <v>36.21</v>
      </c>
      <c r="M38" s="2">
        <v>14.125</v>
      </c>
      <c r="N38" s="4">
        <f t="shared" si="0"/>
        <v>320.53299999999996</v>
      </c>
      <c r="AU38" s="80" t="str">
        <f t="shared" si="1"/>
        <v>Otros Gasóleos</v>
      </c>
      <c r="AV38" s="81">
        <f>HLOOKUP(MAXA(B4:M4),$B$4:$M$49,34,FALSE)</f>
        <v>1780.252</v>
      </c>
      <c r="AW38" s="81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  <c r="AU39" s="80" t="str">
        <f t="shared" si="1"/>
        <v>Biodiesel</v>
      </c>
      <c r="AV39" s="81">
        <f>HLOOKUP(MAXA(B4:M4),$B$4:$M$49,35,FALSE)</f>
        <v>14.125</v>
      </c>
      <c r="AW39" s="81"/>
    </row>
    <row r="40" spans="1:49" ht="16.5" customHeight="1" x14ac:dyDescent="0.2">
      <c r="A40" s="9" t="s">
        <v>38</v>
      </c>
      <c r="B40" s="3">
        <v>0</v>
      </c>
      <c r="C40" s="2">
        <v>1E-3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1E-3</v>
      </c>
      <c r="N40" s="4">
        <f t="shared" si="0"/>
        <v>2E-3</v>
      </c>
      <c r="AU40" s="80" t="str">
        <f t="shared" si="1"/>
        <v>Biodiesel Mezcla</v>
      </c>
      <c r="AV40" s="81">
        <f>HLOOKUP(MAXA(B4:M4),$B$4:$M$49,36,FALSE)</f>
        <v>0</v>
      </c>
      <c r="AW40" s="81"/>
    </row>
    <row r="41" spans="1:49" ht="16.5" customHeight="1" x14ac:dyDescent="0.2">
      <c r="A41" s="9" t="s">
        <v>39</v>
      </c>
      <c r="B41" s="3">
        <v>0</v>
      </c>
      <c r="C41" s="2">
        <v>0</v>
      </c>
      <c r="D41" s="2">
        <v>3.6320000000000001</v>
      </c>
      <c r="E41" s="2">
        <v>0</v>
      </c>
      <c r="F41" s="2">
        <v>1.3049999999999999</v>
      </c>
      <c r="G41" s="2">
        <v>0.7</v>
      </c>
      <c r="H41" s="2">
        <v>0.152</v>
      </c>
      <c r="I41" s="2">
        <v>0</v>
      </c>
      <c r="J41" s="2">
        <v>0</v>
      </c>
      <c r="K41" s="2">
        <v>2.8000000000000001E-2</v>
      </c>
      <c r="L41" s="2">
        <v>1.2E-2</v>
      </c>
      <c r="M41" s="2">
        <v>0</v>
      </c>
      <c r="N41" s="4">
        <f t="shared" si="0"/>
        <v>5.8289999999999997</v>
      </c>
      <c r="AU41" s="80" t="str">
        <f t="shared" si="1"/>
        <v>Fuelóleo BIA</v>
      </c>
      <c r="AV41" s="81">
        <f>HLOOKUP(MAXA(B4:M4),$B$4:$M$49,37,FALSE)</f>
        <v>1E-3</v>
      </c>
      <c r="AW41" s="81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  <c r="AU42" s="80" t="str">
        <f t="shared" si="1"/>
        <v>Fuelóleo de refineria</v>
      </c>
      <c r="AV42" s="81">
        <f>HLOOKUP(MAXA(B4:M4),$B$4:$M$49,38,FALSE)</f>
        <v>0</v>
      </c>
      <c r="AW42" s="81"/>
    </row>
    <row r="43" spans="1:49" ht="16.5" customHeight="1" x14ac:dyDescent="0.2">
      <c r="A43" s="9" t="s">
        <v>40</v>
      </c>
      <c r="B43" s="3">
        <v>450.274</v>
      </c>
      <c r="C43" s="2">
        <v>328.14400000000001</v>
      </c>
      <c r="D43" s="2">
        <v>407.99200000000002</v>
      </c>
      <c r="E43" s="2">
        <v>432.93200000000002</v>
      </c>
      <c r="F43" s="2">
        <v>451.30899999999997</v>
      </c>
      <c r="G43" s="2">
        <v>425.28399999999999</v>
      </c>
      <c r="H43" s="2">
        <v>416.22699999999998</v>
      </c>
      <c r="I43" s="2">
        <v>384.89699999999999</v>
      </c>
      <c r="J43" s="2">
        <v>376.89400000000001</v>
      </c>
      <c r="K43" s="2">
        <v>322.41199999999998</v>
      </c>
      <c r="L43" s="2">
        <v>271.10300000000001</v>
      </c>
      <c r="M43" s="2">
        <v>383.76700000000005</v>
      </c>
      <c r="N43" s="4">
        <f t="shared" si="0"/>
        <v>4651.2349999999988</v>
      </c>
      <c r="AU43" s="80" t="str">
        <f t="shared" si="1"/>
        <v>Otros combustibles para uso marítimo</v>
      </c>
      <c r="AV43" s="81">
        <f>HLOOKUP(MAXA(B4:M4),$B$4:$M$49,39,FALSE)</f>
        <v>0</v>
      </c>
      <c r="AW43" s="81"/>
    </row>
    <row r="44" spans="1:49" ht="16.5" customHeight="1" x14ac:dyDescent="0.2">
      <c r="A44" s="9" t="s">
        <v>41</v>
      </c>
      <c r="B44" s="3">
        <v>26.797000000000001</v>
      </c>
      <c r="C44" s="2">
        <v>22.974</v>
      </c>
      <c r="D44" s="2">
        <v>24.135999999999999</v>
      </c>
      <c r="E44" s="2">
        <v>24.268999999999998</v>
      </c>
      <c r="F44" s="2">
        <v>21.446000000000002</v>
      </c>
      <c r="G44" s="2">
        <v>19.661000000000001</v>
      </c>
      <c r="H44" s="2">
        <v>29.905000000000001</v>
      </c>
      <c r="I44" s="2">
        <v>26.986000000000001</v>
      </c>
      <c r="J44" s="2">
        <v>23.268000000000001</v>
      </c>
      <c r="K44" s="2">
        <v>23.844999999999999</v>
      </c>
      <c r="L44" s="2">
        <v>12.422000000000001</v>
      </c>
      <c r="M44" s="2">
        <v>24.454999999999998</v>
      </c>
      <c r="N44" s="4">
        <f t="shared" si="0"/>
        <v>280.16399999999999</v>
      </c>
      <c r="AU44" s="80" t="str">
        <f t="shared" si="1"/>
        <v>Otros Fuelóleos</v>
      </c>
      <c r="AV44" s="81">
        <f>HLOOKUP(MAXA(B4:M4),$B$4:$M$49,40,FALSE)</f>
        <v>383.76700000000005</v>
      </c>
      <c r="AW44" s="81"/>
    </row>
    <row r="45" spans="1:49" ht="16.5" customHeight="1" x14ac:dyDescent="0.2">
      <c r="A45" s="9" t="s">
        <v>42</v>
      </c>
      <c r="B45" s="3">
        <v>120.874</v>
      </c>
      <c r="C45" s="2">
        <v>138.21100000000001</v>
      </c>
      <c r="D45" s="2">
        <v>163.62700000000001</v>
      </c>
      <c r="E45" s="2">
        <v>177.46</v>
      </c>
      <c r="F45" s="2">
        <v>137.023</v>
      </c>
      <c r="G45" s="2">
        <v>156.24799999999999</v>
      </c>
      <c r="H45" s="2">
        <v>175.59800000000001</v>
      </c>
      <c r="I45" s="2">
        <v>174.352</v>
      </c>
      <c r="J45" s="2">
        <v>180.56399999999999</v>
      </c>
      <c r="K45" s="2">
        <v>165.001</v>
      </c>
      <c r="L45" s="2">
        <v>123.381</v>
      </c>
      <c r="M45" s="2">
        <v>156.809</v>
      </c>
      <c r="N45" s="4">
        <f t="shared" si="0"/>
        <v>1869.1480000000001</v>
      </c>
      <c r="AU45" s="80" t="str">
        <f t="shared" si="1"/>
        <v>Aceites y bases lubricantes</v>
      </c>
      <c r="AV45" s="81">
        <f>HLOOKUP(MAXA(B4:M4),$B$4:$M$49,41,FALSE)</f>
        <v>24.454999999999998</v>
      </c>
      <c r="AW45" s="81"/>
    </row>
    <row r="46" spans="1:49" ht="16.5" customHeight="1" x14ac:dyDescent="0.2">
      <c r="A46" s="9" t="s">
        <v>43</v>
      </c>
      <c r="B46" s="3">
        <v>8.6430000000000007</v>
      </c>
      <c r="C46" s="2">
        <v>12.215999999999999</v>
      </c>
      <c r="D46" s="2">
        <v>12.93</v>
      </c>
      <c r="E46" s="2">
        <v>10.641999999999999</v>
      </c>
      <c r="F46" s="2">
        <v>10.715</v>
      </c>
      <c r="G46" s="2">
        <v>10.055999999999999</v>
      </c>
      <c r="H46" s="2">
        <v>11.307</v>
      </c>
      <c r="I46" s="2">
        <v>9.4489999999999998</v>
      </c>
      <c r="J46" s="2">
        <v>10.199</v>
      </c>
      <c r="K46" s="2">
        <v>9.4269999999999996</v>
      </c>
      <c r="L46" s="2">
        <v>0</v>
      </c>
      <c r="M46" s="2">
        <v>5.6609999999999996</v>
      </c>
      <c r="N46" s="4">
        <f t="shared" si="0"/>
        <v>111.245</v>
      </c>
      <c r="AU46" s="80" t="str">
        <f t="shared" si="1"/>
        <v>Productos asfálticos</v>
      </c>
      <c r="AV46" s="81">
        <f>HLOOKUP(MAXA(B4:M4),$B$4:$M$49,42,FALSE)</f>
        <v>156.809</v>
      </c>
      <c r="AW46" s="81"/>
    </row>
    <row r="47" spans="1:49" ht="16.5" customHeight="1" x14ac:dyDescent="0.2">
      <c r="A47" s="9" t="s">
        <v>44</v>
      </c>
      <c r="B47" s="3">
        <v>6.7759999999999998</v>
      </c>
      <c r="C47" s="2">
        <v>6.7039999999999997</v>
      </c>
      <c r="D47" s="2">
        <v>6.0789999999999997</v>
      </c>
      <c r="E47" s="2">
        <v>6.58</v>
      </c>
      <c r="F47" s="2">
        <v>6.9459999999999997</v>
      </c>
      <c r="G47" s="2">
        <v>6.45</v>
      </c>
      <c r="H47" s="2">
        <v>6.3410000000000002</v>
      </c>
      <c r="I47" s="2">
        <v>5.8310000000000004</v>
      </c>
      <c r="J47" s="2">
        <v>5.5659999999999998</v>
      </c>
      <c r="K47" s="2">
        <v>5.7</v>
      </c>
      <c r="L47" s="2">
        <v>2.9910000000000001</v>
      </c>
      <c r="M47" s="2">
        <v>3.887</v>
      </c>
      <c r="N47" s="4">
        <f t="shared" si="0"/>
        <v>69.851000000000013</v>
      </c>
      <c r="AU47" s="80" t="str">
        <f t="shared" si="1"/>
        <v>Disolventes</v>
      </c>
      <c r="AV47" s="81">
        <f>HLOOKUP(MAXA(B4:M4),$B$4:$M$49,43,FALSE)</f>
        <v>5.6609999999999996</v>
      </c>
      <c r="AW47" s="81"/>
    </row>
    <row r="48" spans="1:49" ht="16.5" customHeight="1" x14ac:dyDescent="0.2">
      <c r="A48" s="9" t="s">
        <v>45</v>
      </c>
      <c r="B48" s="3">
        <v>276.36099999999999</v>
      </c>
      <c r="C48" s="2">
        <v>333.20699999999999</v>
      </c>
      <c r="D48" s="2">
        <v>286.33100000000002</v>
      </c>
      <c r="E48" s="2">
        <v>247.52699999999999</v>
      </c>
      <c r="F48" s="2">
        <v>280.86399999999998</v>
      </c>
      <c r="G48" s="2">
        <v>274.50299999999999</v>
      </c>
      <c r="H48" s="2">
        <v>303.47500000000002</v>
      </c>
      <c r="I48" s="2">
        <v>301.76100000000002</v>
      </c>
      <c r="J48" s="2">
        <v>271.81900000000002</v>
      </c>
      <c r="K48" s="2">
        <v>296.07799999999997</v>
      </c>
      <c r="L48" s="2">
        <v>329.41199999999998</v>
      </c>
      <c r="M48" s="2">
        <v>304.04000000000002</v>
      </c>
      <c r="N48" s="4">
        <f t="shared" si="0"/>
        <v>3505.3779999999997</v>
      </c>
      <c r="AU48" s="80" t="str">
        <f t="shared" si="1"/>
        <v>Parafinas</v>
      </c>
      <c r="AV48" s="81">
        <f>HLOOKUP(MAXA(B4:M4),$B$4:$M$49,44,FALSE)</f>
        <v>3.887</v>
      </c>
      <c r="AW48" s="81"/>
    </row>
    <row r="49" spans="1:49" ht="18" customHeight="1" x14ac:dyDescent="0.2">
      <c r="A49" s="10" t="s">
        <v>52</v>
      </c>
      <c r="B49" s="7">
        <v>178.6200000000008</v>
      </c>
      <c r="C49" s="5">
        <v>236.21699999999998</v>
      </c>
      <c r="D49" s="5">
        <v>80.967999999998938</v>
      </c>
      <c r="E49" s="5">
        <v>143.25099999999998</v>
      </c>
      <c r="F49" s="5">
        <v>222.02399999999852</v>
      </c>
      <c r="G49" s="5">
        <v>120.74400000000151</v>
      </c>
      <c r="H49" s="5">
        <v>212.26999999999953</v>
      </c>
      <c r="I49" s="5">
        <v>254.46400000000085</v>
      </c>
      <c r="J49" s="5">
        <v>162.32900000000063</v>
      </c>
      <c r="K49" s="5">
        <v>175.37199999999939</v>
      </c>
      <c r="L49" s="5">
        <v>272.31500000000051</v>
      </c>
      <c r="M49" s="5">
        <v>223.53300000000002</v>
      </c>
      <c r="N49" s="6">
        <f t="shared" si="0"/>
        <v>2282.1070000000004</v>
      </c>
      <c r="AU49" s="80" t="str">
        <f t="shared" si="1"/>
        <v>Coque de petróleo</v>
      </c>
      <c r="AV49" s="81">
        <f>HLOOKUP(MAXA(B4:M4),$B$4:$M$49,45,FALSE)</f>
        <v>304.04000000000002</v>
      </c>
      <c r="AW49" s="81"/>
    </row>
    <row r="50" spans="1:49" x14ac:dyDescent="0.2">
      <c r="F50" s="41"/>
      <c r="AU50" s="80" t="str">
        <f t="shared" si="1"/>
        <v>Otros Productos</v>
      </c>
      <c r="AV50" s="81">
        <f>HLOOKUP(MAXA(B4:M4),$B$4:$M$49,46,FALSE)</f>
        <v>223.53300000000002</v>
      </c>
      <c r="AW50" s="81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2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24F8B-020F-4239-A44B-B5C589666664}">
  <sheetPr>
    <pageSetUpPr fitToPage="1"/>
  </sheetPr>
  <dimension ref="A1:BI250"/>
  <sheetViews>
    <sheetView showGridLines="0" tabSelected="1" zoomScale="70" zoomScaleNormal="70" workbookViewId="0">
      <selection activeCell="G5" sqref="G5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2" customWidth="1"/>
    <col min="47" max="47" width="36.75" style="72" customWidth="1"/>
    <col min="48" max="48" width="12.625" style="72" customWidth="1"/>
    <col min="49" max="49" width="11.5" style="72" customWidth="1"/>
    <col min="50" max="50" width="11.5" style="1"/>
    <col min="51" max="51" width="11.5" style="72"/>
    <col min="52" max="61" width="11.5" style="1"/>
  </cols>
  <sheetData>
    <row r="1" spans="1:61" ht="20.25" x14ac:dyDescent="0.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Q1" s="53" t="str">
        <f>"MOVIMIENTO DE CRUDOS Y OBTENCIÓN DE PRODUCTOS PETROLÍFEROS - " &amp;AV3</f>
        <v>MOVIMIENTO DE CRUDOS Y OBTENCIÓN DE PRODUCTOS PETROLÍFEROS - JUNIO 2025</v>
      </c>
      <c r="AE1" s="53" t="s">
        <v>64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3" t="str">
        <f>UPPER(TEXT(MAXA(B4:M4),"mmmm aaaa"))</f>
        <v>JUNIO 2025</v>
      </c>
    </row>
    <row r="4" spans="1:61" s="16" customFormat="1" ht="21" customHeight="1" x14ac:dyDescent="0.2">
      <c r="A4" s="11" t="s">
        <v>13</v>
      </c>
      <c r="B4" s="91">
        <v>45658</v>
      </c>
      <c r="C4" s="92">
        <v>45689</v>
      </c>
      <c r="D4" s="92">
        <v>45717</v>
      </c>
      <c r="E4" s="92">
        <v>45748</v>
      </c>
      <c r="F4" s="92">
        <v>45778</v>
      </c>
      <c r="G4" s="14">
        <v>45809</v>
      </c>
      <c r="H4" s="14"/>
      <c r="I4" s="14"/>
      <c r="J4" s="14"/>
      <c r="K4" s="14"/>
      <c r="L4" s="14"/>
      <c r="M4" s="14"/>
      <c r="N4" s="15" t="s">
        <v>63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3"/>
      <c r="AT4" s="74"/>
      <c r="AU4" s="74"/>
      <c r="AV4" s="74"/>
      <c r="AW4" s="74"/>
      <c r="AX4" s="83"/>
      <c r="AY4" s="74"/>
      <c r="AZ4" s="83"/>
      <c r="BA4" s="83"/>
      <c r="BB4" s="83"/>
      <c r="BC4" s="83"/>
      <c r="BD4" s="83"/>
      <c r="BE4" s="83"/>
      <c r="BF4" s="83"/>
      <c r="BG4" s="83"/>
      <c r="BH4" s="83"/>
      <c r="BI4" s="83"/>
    </row>
    <row r="5" spans="1:61" s="21" customFormat="1" ht="21" customHeight="1" x14ac:dyDescent="0.2">
      <c r="A5" s="17" t="s">
        <v>0</v>
      </c>
      <c r="B5" s="18">
        <v>0.40699999999999997</v>
      </c>
      <c r="C5" s="19">
        <v>0.23899999999999999</v>
      </c>
      <c r="D5" s="19">
        <v>0.17599999999999999</v>
      </c>
      <c r="E5" s="19">
        <v>6.0000000000000001E-3</v>
      </c>
      <c r="F5" s="19">
        <v>0</v>
      </c>
      <c r="G5" s="19">
        <v>0</v>
      </c>
      <c r="H5" s="19"/>
      <c r="I5" s="45"/>
      <c r="J5" s="19"/>
      <c r="K5" s="19"/>
      <c r="L5" s="19"/>
      <c r="M5" s="19"/>
      <c r="N5" s="20">
        <f>SUM(B5:M5)</f>
        <v>0.82799999999999985</v>
      </c>
      <c r="P5" s="34"/>
      <c r="Q5" s="34"/>
      <c r="R5" s="47"/>
      <c r="AS5" s="32"/>
      <c r="AT5" s="75"/>
      <c r="AU5" s="75"/>
      <c r="AV5" s="75"/>
      <c r="AW5" s="75"/>
      <c r="AX5" s="32"/>
      <c r="AY5" s="75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5182.2709999999997</v>
      </c>
      <c r="C6" s="24">
        <v>5072.5690000000004</v>
      </c>
      <c r="D6" s="24">
        <v>5310.0219999999999</v>
      </c>
      <c r="E6" s="24">
        <v>4795.9139999999998</v>
      </c>
      <c r="F6" s="24">
        <v>4790.9260000000004</v>
      </c>
      <c r="G6" s="24">
        <v>4131.1869999999999</v>
      </c>
      <c r="H6" s="24"/>
      <c r="I6" s="24"/>
      <c r="J6" s="24"/>
      <c r="K6" s="24"/>
      <c r="L6" s="24"/>
      <c r="M6" s="24"/>
      <c r="N6" s="25">
        <f>SUM(B6:M6)</f>
        <v>29282.889000000003</v>
      </c>
      <c r="P6" s="34"/>
      <c r="Q6" s="34"/>
      <c r="R6" s="47"/>
      <c r="AS6" s="32"/>
      <c r="AT6" s="75"/>
      <c r="AU6" s="76" t="str">
        <f>A6</f>
        <v>IMPORTACIONES DE CRUDO</v>
      </c>
      <c r="AV6" s="77">
        <f>HLOOKUP(MAXA(B4:M4),$B$4:$M$6,3,FALSE)</f>
        <v>4131.1869999999999</v>
      </c>
      <c r="AW6" s="75"/>
      <c r="AX6" s="32"/>
      <c r="AY6" s="75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192.98100000000068</v>
      </c>
      <c r="C7" s="28">
        <v>-49.119000000000597</v>
      </c>
      <c r="D7" s="28">
        <v>-73.728000000000065</v>
      </c>
      <c r="E7" s="28">
        <v>231.78200000000015</v>
      </c>
      <c r="F7" s="28">
        <v>104.94999999999982</v>
      </c>
      <c r="G7" s="28">
        <v>91.760000000000218</v>
      </c>
      <c r="H7" s="28"/>
      <c r="I7" s="28"/>
      <c r="J7" s="28"/>
      <c r="K7" s="28"/>
      <c r="L7" s="28"/>
      <c r="M7" s="28"/>
      <c r="N7" s="29">
        <f t="shared" ref="N7:N49" si="0">SUM(B7:M7)</f>
        <v>498.6260000000002</v>
      </c>
      <c r="P7" s="34"/>
      <c r="Q7" s="34"/>
      <c r="R7" s="47"/>
      <c r="AS7" s="32"/>
      <c r="AT7" s="75"/>
      <c r="AU7" s="76" t="str">
        <f>A12</f>
        <v>TOTAL PROCESADO</v>
      </c>
      <c r="AV7" s="77">
        <f>HLOOKUP(MAXA(B4:M4),$B$4:$M$12,9,FALSE)</f>
        <v>4921.1400000000003</v>
      </c>
      <c r="AW7" s="75"/>
      <c r="AX7" s="32"/>
      <c r="AY7" s="75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-118.96599999999999</v>
      </c>
      <c r="C8" s="28">
        <v>311.27600000000001</v>
      </c>
      <c r="D8" s="28">
        <v>-7.0119999999999996</v>
      </c>
      <c r="E8" s="28">
        <v>257.46199999999999</v>
      </c>
      <c r="F8" s="28">
        <v>14.525</v>
      </c>
      <c r="G8" s="28">
        <v>-442.20400000000001</v>
      </c>
      <c r="H8" s="28"/>
      <c r="I8" s="28"/>
      <c r="J8" s="28"/>
      <c r="K8" s="28"/>
      <c r="L8" s="28"/>
      <c r="M8" s="28"/>
      <c r="N8" s="29">
        <f t="shared" si="0"/>
        <v>15.08099999999996</v>
      </c>
      <c r="P8" s="34"/>
      <c r="Q8" s="34"/>
      <c r="R8" s="47"/>
      <c r="AS8" s="32"/>
      <c r="AT8" s="75"/>
      <c r="AU8" s="76" t="str">
        <f>A15</f>
        <v>PRODUCCION BRUTA DE REFINERIA</v>
      </c>
      <c r="AV8" s="77">
        <f>HLOOKUP(MAXA(B4:M4),$B$4:$M$15,12,FALSE)</f>
        <v>4883.1480000000001</v>
      </c>
      <c r="AW8" s="75"/>
      <c r="AX8" s="32"/>
      <c r="AY8" s="75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251.21300000000002</v>
      </c>
      <c r="C9" s="28">
        <v>1.2939999999999827</v>
      </c>
      <c r="D9" s="28">
        <v>-56.305</v>
      </c>
      <c r="E9" s="28">
        <v>122.38999999999999</v>
      </c>
      <c r="F9" s="28">
        <v>144.45099999999999</v>
      </c>
      <c r="G9" s="28">
        <v>-239.61200000000002</v>
      </c>
      <c r="H9" s="28"/>
      <c r="I9" s="28"/>
      <c r="J9" s="28"/>
      <c r="K9" s="28"/>
      <c r="L9" s="28"/>
      <c r="M9" s="28"/>
      <c r="N9" s="29">
        <f t="shared" si="0"/>
        <v>223.43099999999998</v>
      </c>
      <c r="P9" s="34"/>
      <c r="Q9" s="34"/>
      <c r="R9" s="47"/>
      <c r="AS9" s="32"/>
      <c r="AT9" s="75"/>
      <c r="AU9" s="75"/>
      <c r="AV9" s="77"/>
      <c r="AW9" s="75"/>
      <c r="AX9" s="32"/>
      <c r="AY9" s="75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62.945999999999998</v>
      </c>
      <c r="C10" s="28">
        <v>55.45</v>
      </c>
      <c r="D10" s="28">
        <v>23.821999999999999</v>
      </c>
      <c r="E10" s="28">
        <v>26.233000000000001</v>
      </c>
      <c r="F10" s="28">
        <v>49.732999999999997</v>
      </c>
      <c r="G10" s="28">
        <v>16.376999999999999</v>
      </c>
      <c r="H10" s="28"/>
      <c r="I10" s="28"/>
      <c r="J10" s="28"/>
      <c r="K10" s="28"/>
      <c r="L10" s="28"/>
      <c r="M10" s="28"/>
      <c r="N10" s="29">
        <f t="shared" si="0"/>
        <v>234.56100000000001</v>
      </c>
      <c r="P10" s="34"/>
      <c r="Q10" s="34"/>
      <c r="R10" s="47"/>
      <c r="AS10" s="32"/>
      <c r="AT10" s="75"/>
      <c r="AU10" s="75"/>
      <c r="AV10" s="77"/>
      <c r="AW10" s="75"/>
      <c r="AX10" s="32"/>
      <c r="AY10" s="75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/>
      <c r="I11" s="28"/>
      <c r="J11" s="28"/>
      <c r="K11" s="28"/>
      <c r="L11" s="28"/>
      <c r="M11" s="28"/>
      <c r="N11" s="29">
        <f t="shared" si="0"/>
        <v>0</v>
      </c>
      <c r="P11" s="35"/>
      <c r="Q11" s="55"/>
      <c r="R11" s="47"/>
      <c r="AS11" s="32"/>
      <c r="AT11" s="75"/>
      <c r="AU11" s="76" t="str">
        <f>A7</f>
        <v>IMPORTACIONES DE PROD. INTERMEDIOS Y MAT. AUXILIARES</v>
      </c>
      <c r="AV11" s="77">
        <f>HLOOKUP(MAXA(B4:M4),$B$4:$M$15,4,FALSE)</f>
        <v>91.760000000000218</v>
      </c>
      <c r="AW11" s="75"/>
      <c r="AX11" s="32"/>
      <c r="AY11" s="75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5306.3580000000011</v>
      </c>
      <c r="C12" s="24">
        <v>4766.5689999999995</v>
      </c>
      <c r="D12" s="24">
        <v>5323.6090000000004</v>
      </c>
      <c r="E12" s="24">
        <v>4674.0829999999996</v>
      </c>
      <c r="F12" s="24">
        <v>4786.6330000000007</v>
      </c>
      <c r="G12" s="24">
        <v>4921.1400000000003</v>
      </c>
      <c r="H12" s="24"/>
      <c r="I12" s="24"/>
      <c r="J12" s="24"/>
      <c r="K12" s="24"/>
      <c r="L12" s="24"/>
      <c r="M12" s="24"/>
      <c r="N12" s="25">
        <f>SUM(B12:M12)</f>
        <v>29778.392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6"/>
      <c r="AT12" s="78"/>
      <c r="AU12" s="76" t="str">
        <f>A8</f>
        <v>VARIACION DE STOCKS DE CRUDOS (Ef-Ei)</v>
      </c>
      <c r="AV12" s="79">
        <f>HLOOKUP(MAXA(B4:M4),$B$4:$M$15,5,FALSE)</f>
        <v>-442.20400000000001</v>
      </c>
      <c r="AW12" s="78"/>
      <c r="AX12" s="86"/>
      <c r="AY12" s="78"/>
      <c r="AZ12" s="86"/>
      <c r="BA12" s="86"/>
      <c r="BB12" s="86"/>
      <c r="BC12" s="86"/>
      <c r="BD12" s="86"/>
      <c r="BE12" s="86"/>
      <c r="BF12" s="86"/>
      <c r="BG12" s="86"/>
      <c r="BH12" s="86"/>
      <c r="BI12" s="86"/>
    </row>
    <row r="13" spans="1:61" s="21" customFormat="1" ht="21" customHeight="1" x14ac:dyDescent="0.2">
      <c r="A13" s="26" t="s">
        <v>12</v>
      </c>
      <c r="B13" s="27">
        <v>5301.6440000000002</v>
      </c>
      <c r="C13" s="28">
        <v>4761.5320000000002</v>
      </c>
      <c r="D13" s="28">
        <v>5317.21</v>
      </c>
      <c r="E13" s="28">
        <v>4538.4579999999996</v>
      </c>
      <c r="F13" s="28">
        <v>4776.4009999999998</v>
      </c>
      <c r="G13" s="28">
        <v>4573.3909999999996</v>
      </c>
      <c r="H13" s="28"/>
      <c r="I13" s="28"/>
      <c r="J13" s="28"/>
      <c r="K13" s="28"/>
      <c r="L13" s="28"/>
      <c r="M13" s="28"/>
      <c r="N13" s="29">
        <f t="shared" si="0"/>
        <v>29268.635999999995</v>
      </c>
      <c r="P13" s="34"/>
      <c r="Q13" s="34"/>
      <c r="R13" s="47"/>
      <c r="AS13" s="32"/>
      <c r="AT13" s="75"/>
      <c r="AU13" s="76" t="str">
        <f>A9</f>
        <v>APROVISIONAMIENTO DE PROD. INTERMEDIOS Y MAT. AUXILIARES</v>
      </c>
      <c r="AV13" s="77">
        <f>HLOOKUP(MAXA(B4:M4),$B$4:$M$15,6,FALSE)</f>
        <v>-239.61200000000002</v>
      </c>
      <c r="AW13" s="75"/>
      <c r="AX13" s="32"/>
      <c r="AY13" s="75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157.89100000000144</v>
      </c>
      <c r="C14" s="28">
        <v>71.536999999999352</v>
      </c>
      <c r="D14" s="28">
        <v>220.40999999999985</v>
      </c>
      <c r="E14" s="28">
        <v>105.32200000000103</v>
      </c>
      <c r="F14" s="28">
        <v>58.5</v>
      </c>
      <c r="G14" s="28">
        <v>37.992000000000189</v>
      </c>
      <c r="H14" s="28"/>
      <c r="I14" s="46"/>
      <c r="J14" s="28"/>
      <c r="K14" s="28"/>
      <c r="L14" s="28"/>
      <c r="M14" s="28"/>
      <c r="N14" s="29">
        <f t="shared" si="0"/>
        <v>651.65200000000186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5"/>
      <c r="AU14" s="76" t="str">
        <f>A10</f>
        <v>PRODUCTOS TRASPASADOS Y BACKFLOWS</v>
      </c>
      <c r="AV14" s="77">
        <f>HLOOKUP(MAXA(B4:M4),$B$4:$M$15,7,FALSE)</f>
        <v>16.376999999999999</v>
      </c>
      <c r="AW14" s="75"/>
      <c r="AX14" s="32"/>
      <c r="AY14" s="75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v>5148.4669999999987</v>
      </c>
      <c r="C15" s="24">
        <v>4695.0320000000002</v>
      </c>
      <c r="D15" s="24">
        <v>5103.1990000000005</v>
      </c>
      <c r="E15" s="24">
        <v>4568.7609999999995</v>
      </c>
      <c r="F15" s="24">
        <f t="shared" ref="F15:G15" si="1">SUM(F16:F49)</f>
        <v>4728.1330000000007</v>
      </c>
      <c r="G15" s="24">
        <f t="shared" si="1"/>
        <v>4883.1480000000001</v>
      </c>
      <c r="H15" s="24"/>
      <c r="I15" s="24"/>
      <c r="J15" s="24"/>
      <c r="K15" s="24"/>
      <c r="L15" s="24"/>
      <c r="M15" s="24"/>
      <c r="N15" s="25">
        <f t="shared" si="0"/>
        <v>29126.74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5"/>
      <c r="AU15" s="76" t="str">
        <f>A11</f>
        <v>CONSUMO DIRECTO DE CRUDO</v>
      </c>
      <c r="AV15" s="77">
        <f>HLOOKUP(MAXA(B4:M4),$B$4:$M$15,8,FALSE)</f>
        <v>0</v>
      </c>
      <c r="AW15" s="75"/>
      <c r="AY15" s="75"/>
    </row>
    <row r="16" spans="1:61" ht="16.5" customHeight="1" x14ac:dyDescent="0.2">
      <c r="A16" s="9" t="s">
        <v>14</v>
      </c>
      <c r="B16" s="3">
        <v>172.095</v>
      </c>
      <c r="C16" s="2">
        <v>187.18799999999999</v>
      </c>
      <c r="D16" s="2">
        <v>216.68299999999999</v>
      </c>
      <c r="E16" s="2">
        <v>169.70699999999999</v>
      </c>
      <c r="F16" s="2">
        <v>143.37700000000001</v>
      </c>
      <c r="G16" s="2">
        <v>162.38999999999999</v>
      </c>
      <c r="H16" s="2"/>
      <c r="I16" s="2"/>
      <c r="J16" s="2"/>
      <c r="K16" s="2"/>
      <c r="L16" s="2"/>
      <c r="M16" s="2"/>
      <c r="N16" s="4">
        <f t="shared" si="0"/>
        <v>1051.44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/>
      <c r="I17" s="2"/>
      <c r="J17" s="2"/>
      <c r="K17" s="2"/>
      <c r="L17" s="2"/>
      <c r="M17" s="2"/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0" t="str">
        <f>A16</f>
        <v>Gas Refinería</v>
      </c>
      <c r="AV17" s="81">
        <f>HLOOKUP(MAXA(B4:M4),$B$4:$M$49,13,FALSE)</f>
        <v>162.38999999999999</v>
      </c>
      <c r="AW17" s="81"/>
    </row>
    <row r="18" spans="1:49" ht="16.5" customHeight="1" x14ac:dyDescent="0.2">
      <c r="A18" s="9" t="s">
        <v>16</v>
      </c>
      <c r="B18" s="3">
        <v>103.541</v>
      </c>
      <c r="C18" s="2">
        <v>94.614000000000004</v>
      </c>
      <c r="D18" s="2">
        <v>96.242000000000004</v>
      </c>
      <c r="E18" s="2">
        <v>64.98</v>
      </c>
      <c r="F18" s="2">
        <v>88.978999999999999</v>
      </c>
      <c r="G18" s="2">
        <v>81.649000000000001</v>
      </c>
      <c r="H18" s="2"/>
      <c r="I18" s="2"/>
      <c r="J18" s="2"/>
      <c r="K18" s="2"/>
      <c r="L18" s="2"/>
      <c r="M18" s="2"/>
      <c r="N18" s="4">
        <f t="shared" si="0"/>
        <v>530.005</v>
      </c>
      <c r="AU18" s="80" t="str">
        <f t="shared" ref="AU18:AU50" si="2">A17</f>
        <v>Etano</v>
      </c>
      <c r="AV18" s="81">
        <f>HLOOKUP(MAXA(B4:M4),$B$4:$M$49,14,FALSE)</f>
        <v>0</v>
      </c>
      <c r="AW18" s="81"/>
    </row>
    <row r="19" spans="1:49" ht="16.5" customHeight="1" x14ac:dyDescent="0.2">
      <c r="A19" s="9" t="s">
        <v>17</v>
      </c>
      <c r="B19" s="3">
        <v>24.610000000000014</v>
      </c>
      <c r="C19" s="2">
        <v>0</v>
      </c>
      <c r="D19" s="2">
        <v>0</v>
      </c>
      <c r="E19" s="2">
        <v>0</v>
      </c>
      <c r="F19" s="2">
        <v>39.623000000000005</v>
      </c>
      <c r="G19" s="2">
        <v>10.674999999999997</v>
      </c>
      <c r="H19" s="2"/>
      <c r="I19" s="2"/>
      <c r="J19" s="2"/>
      <c r="K19" s="2"/>
      <c r="L19" s="2"/>
      <c r="M19" s="2"/>
      <c r="N19" s="4">
        <f t="shared" si="0"/>
        <v>74.908000000000015</v>
      </c>
      <c r="AU19" s="80" t="str">
        <f t="shared" si="2"/>
        <v>Butano</v>
      </c>
      <c r="AV19" s="81">
        <f>HLOOKUP(MAXA(B4:M4),$B$4:$M$49,15,FALSE)</f>
        <v>81.649000000000001</v>
      </c>
      <c r="AW19" s="81"/>
    </row>
    <row r="20" spans="1:49" ht="16.5" customHeight="1" x14ac:dyDescent="0.2">
      <c r="A20" s="9" t="s">
        <v>18</v>
      </c>
      <c r="B20" s="3">
        <v>158.80600000000001</v>
      </c>
      <c r="C20" s="2">
        <v>120.563</v>
      </c>
      <c r="D20" s="2">
        <v>132.67400000000001</v>
      </c>
      <c r="E20" s="2">
        <v>136.02799999999999</v>
      </c>
      <c r="F20" s="2">
        <v>137.44300000000001</v>
      </c>
      <c r="G20" s="2">
        <v>125.089</v>
      </c>
      <c r="H20" s="2"/>
      <c r="I20" s="2"/>
      <c r="J20" s="2"/>
      <c r="K20" s="2"/>
      <c r="L20" s="2"/>
      <c r="M20" s="2"/>
      <c r="N20" s="4">
        <f t="shared" si="0"/>
        <v>810.60300000000007</v>
      </c>
      <c r="AU20" s="80" t="str">
        <f t="shared" si="2"/>
        <v>Propano</v>
      </c>
      <c r="AV20" s="81">
        <f>HLOOKUP(MAXA(B4:M4),$B$4:$M$49,16,FALSE)</f>
        <v>10.674999999999997</v>
      </c>
      <c r="AW20" s="81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/>
      <c r="I21" s="2"/>
      <c r="J21" s="2"/>
      <c r="K21" s="2"/>
      <c r="L21" s="2"/>
      <c r="M21" s="2"/>
      <c r="N21" s="4">
        <f t="shared" si="0"/>
        <v>0</v>
      </c>
      <c r="AU21" s="80" t="str">
        <f t="shared" si="2"/>
        <v>Nafta</v>
      </c>
      <c r="AV21" s="81">
        <f>HLOOKUP(MAXA(B4:M4),$B$4:$M$49,17,FALSE)</f>
        <v>125.089</v>
      </c>
      <c r="AW21" s="81"/>
    </row>
    <row r="22" spans="1:49" ht="16.5" customHeight="1" x14ac:dyDescent="0.2">
      <c r="A22" s="9" t="s">
        <v>20</v>
      </c>
      <c r="B22" s="3">
        <v>84.7</v>
      </c>
      <c r="C22" s="2">
        <v>85.424000000000007</v>
      </c>
      <c r="D22" s="2">
        <v>80.259</v>
      </c>
      <c r="E22" s="2">
        <v>91.846000000000004</v>
      </c>
      <c r="F22" s="2">
        <v>100.376</v>
      </c>
      <c r="G22" s="2">
        <v>91.144000000000005</v>
      </c>
      <c r="H22" s="2"/>
      <c r="I22" s="2"/>
      <c r="J22" s="2"/>
      <c r="K22" s="2"/>
      <c r="L22" s="2"/>
      <c r="M22" s="2"/>
      <c r="N22" s="4">
        <f t="shared" si="0"/>
        <v>533.74900000000002</v>
      </c>
      <c r="AU22" s="80" t="str">
        <f t="shared" si="2"/>
        <v>Gasolina 97 I.O.</v>
      </c>
      <c r="AV22" s="81">
        <f>HLOOKUP(MAXA(B4:M4),$B$4:$M$49,18,FALSE)</f>
        <v>0</v>
      </c>
      <c r="AW22" s="81"/>
    </row>
    <row r="23" spans="1:49" ht="16.5" customHeight="1" x14ac:dyDescent="0.2">
      <c r="A23" s="9" t="s">
        <v>21</v>
      </c>
      <c r="B23" s="3">
        <v>6.4459999999999997</v>
      </c>
      <c r="C23" s="2">
        <v>6.1920000000000002</v>
      </c>
      <c r="D23" s="2">
        <v>7.1070000000000002</v>
      </c>
      <c r="E23" s="2">
        <v>10.738</v>
      </c>
      <c r="F23" s="2">
        <v>9.3870000000000005</v>
      </c>
      <c r="G23" s="2">
        <v>4.9489999999999998</v>
      </c>
      <c r="H23" s="2"/>
      <c r="I23" s="2"/>
      <c r="J23" s="2"/>
      <c r="K23" s="2"/>
      <c r="L23" s="2"/>
      <c r="M23" s="2"/>
      <c r="N23" s="4">
        <f t="shared" si="0"/>
        <v>44.819000000000003</v>
      </c>
      <c r="AU23" s="80" t="str">
        <f t="shared" si="2"/>
        <v>Gasolina 95 I.O.</v>
      </c>
      <c r="AV23" s="81">
        <f>HLOOKUP(MAXA(B4:M4),$B$4:$M$49,19,FALSE)</f>
        <v>91.144000000000005</v>
      </c>
      <c r="AW23" s="81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/>
      <c r="I24" s="2"/>
      <c r="J24" s="2"/>
      <c r="K24" s="2"/>
      <c r="L24" s="2"/>
      <c r="M24" s="2"/>
      <c r="N24" s="4">
        <f t="shared" si="0"/>
        <v>0</v>
      </c>
      <c r="AU24" s="80" t="str">
        <f t="shared" si="2"/>
        <v>Gasolina 98 I.O.</v>
      </c>
      <c r="AV24" s="81">
        <f>HLOOKUP(MAXA(B4:M4),$B$4:$M$49,20,FALSE)</f>
        <v>4.9489999999999998</v>
      </c>
      <c r="AW24" s="81"/>
    </row>
    <row r="25" spans="1:49" ht="16.5" customHeight="1" x14ac:dyDescent="0.2">
      <c r="A25" s="9" t="s">
        <v>23</v>
      </c>
      <c r="B25" s="3">
        <v>697.10399999999993</v>
      </c>
      <c r="C25" s="2">
        <v>638.01099999999997</v>
      </c>
      <c r="D25" s="2">
        <v>702.73799999999994</v>
      </c>
      <c r="E25" s="2">
        <v>634.71599999999989</v>
      </c>
      <c r="F25" s="2">
        <v>577.29599999999994</v>
      </c>
      <c r="G25" s="2">
        <v>602.87</v>
      </c>
      <c r="H25" s="2"/>
      <c r="I25" s="2"/>
      <c r="J25" s="2"/>
      <c r="K25" s="2"/>
      <c r="L25" s="2"/>
      <c r="M25" s="2"/>
      <c r="N25" s="4">
        <f t="shared" si="0"/>
        <v>3852.7349999999992</v>
      </c>
      <c r="AU25" s="80" t="str">
        <f t="shared" si="2"/>
        <v>Gasolina de Aviación</v>
      </c>
      <c r="AV25" s="81">
        <f>HLOOKUP(MAXA(B4:M4),$B$4:$M$49,21,FALSE)</f>
        <v>0</v>
      </c>
      <c r="AW25" s="81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/>
      <c r="I26" s="2"/>
      <c r="J26" s="2"/>
      <c r="K26" s="2"/>
      <c r="L26" s="2"/>
      <c r="M26" s="2"/>
      <c r="N26" s="4">
        <f t="shared" si="0"/>
        <v>0</v>
      </c>
      <c r="AU26" s="80" t="str">
        <f t="shared" si="2"/>
        <v>Otras Gasolinas</v>
      </c>
      <c r="AV26" s="81">
        <f>HLOOKUP(MAXA(B4:M4),$B$4:$M$49,22,FALSE)</f>
        <v>602.87</v>
      </c>
      <c r="AW26" s="81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/>
      <c r="I27" s="2"/>
      <c r="J27" s="2"/>
      <c r="K27" s="2"/>
      <c r="L27" s="2"/>
      <c r="M27" s="2"/>
      <c r="N27" s="4">
        <f t="shared" si="0"/>
        <v>0</v>
      </c>
      <c r="AU27" s="80" t="str">
        <f t="shared" si="2"/>
        <v>Bioetanol</v>
      </c>
      <c r="AV27" s="81">
        <f>HLOOKUP(MAXA(B4:M4),$B$4:$M$49,23,FALSE)</f>
        <v>0</v>
      </c>
      <c r="AW27" s="81"/>
    </row>
    <row r="28" spans="1:49" ht="16.5" customHeight="1" x14ac:dyDescent="0.2">
      <c r="A28" s="9" t="s">
        <v>26</v>
      </c>
      <c r="B28" s="3">
        <v>31.023</v>
      </c>
      <c r="C28" s="2">
        <v>37.520000000000003</v>
      </c>
      <c r="D28" s="2">
        <v>47.640999999999998</v>
      </c>
      <c r="E28" s="2">
        <v>42.44</v>
      </c>
      <c r="F28" s="2">
        <v>52.503999999999998</v>
      </c>
      <c r="G28" s="2">
        <v>41.771000000000001</v>
      </c>
      <c r="H28" s="2"/>
      <c r="I28" s="2"/>
      <c r="J28" s="2"/>
      <c r="K28" s="2"/>
      <c r="L28" s="2"/>
      <c r="M28" s="2"/>
      <c r="N28" s="4">
        <f t="shared" si="0"/>
        <v>252.899</v>
      </c>
      <c r="AU28" s="80" t="str">
        <f t="shared" si="2"/>
        <v>Gasolinas Mezcla</v>
      </c>
      <c r="AV28" s="81">
        <f>HLOOKUP(MAXA(B4:M4),$B$4:$M$49,24,FALSE)</f>
        <v>0</v>
      </c>
      <c r="AW28" s="81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/>
      <c r="I29" s="2"/>
      <c r="J29" s="2"/>
      <c r="K29" s="2"/>
      <c r="L29" s="2"/>
      <c r="M29" s="2"/>
      <c r="N29" s="4">
        <f t="shared" si="0"/>
        <v>0</v>
      </c>
      <c r="AU29" s="80" t="str">
        <f t="shared" si="2"/>
        <v>Queroseno aviac. Jet A1</v>
      </c>
      <c r="AV29" s="81">
        <f>HLOOKUP(MAXA(B4:M4),$B$4:$M$49,25,FALSE)</f>
        <v>41.771000000000001</v>
      </c>
      <c r="AW29" s="81"/>
    </row>
    <row r="30" spans="1:49" ht="21.75" customHeight="1" x14ac:dyDescent="0.2">
      <c r="A30" s="9" t="s">
        <v>28</v>
      </c>
      <c r="B30" s="3">
        <v>801.43600000000004</v>
      </c>
      <c r="C30" s="2">
        <v>678.79300000000001</v>
      </c>
      <c r="D30" s="2">
        <v>805.83</v>
      </c>
      <c r="E30" s="2">
        <v>689.60400000000004</v>
      </c>
      <c r="F30" s="2">
        <v>669.98500000000001</v>
      </c>
      <c r="G30" s="2">
        <v>710.31600000000003</v>
      </c>
      <c r="H30" s="2"/>
      <c r="I30" s="2"/>
      <c r="J30" s="2"/>
      <c r="K30" s="2"/>
      <c r="L30" s="2"/>
      <c r="M30" s="2"/>
      <c r="N30" s="4">
        <f t="shared" si="0"/>
        <v>4355.9640000000009</v>
      </c>
      <c r="AU30" s="80" t="str">
        <f t="shared" si="2"/>
        <v>Queroseno aviac. Jet A2</v>
      </c>
      <c r="AV30" s="81">
        <f>HLOOKUP(MAXA(B4:M4),$B$4:$M$49,26,FALSE)</f>
        <v>0</v>
      </c>
      <c r="AW30" s="81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/>
      <c r="I31" s="2"/>
      <c r="J31" s="2"/>
      <c r="K31" s="2"/>
      <c r="L31" s="2"/>
      <c r="M31" s="2"/>
      <c r="N31" s="4">
        <f t="shared" si="0"/>
        <v>0</v>
      </c>
      <c r="AU31" s="80" t="str">
        <f t="shared" si="2"/>
        <v>Otros Querosenos</v>
      </c>
      <c r="AV31" s="81">
        <f>HLOOKUP(MAXA(B4:M4),$B$4:$M$49,27,FALSE)</f>
        <v>710.31600000000003</v>
      </c>
      <c r="AW31" s="81"/>
    </row>
    <row r="32" spans="1:49" ht="16.5" customHeight="1" x14ac:dyDescent="0.2">
      <c r="A32" s="9" t="s">
        <v>30</v>
      </c>
      <c r="B32" s="3">
        <v>266.14400000000001</v>
      </c>
      <c r="C32" s="2">
        <v>217.99199999999999</v>
      </c>
      <c r="D32" s="2">
        <v>275.00900000000001</v>
      </c>
      <c r="E32" s="2">
        <v>264.98200000000003</v>
      </c>
      <c r="F32" s="2">
        <v>261.40499999999997</v>
      </c>
      <c r="G32" s="2">
        <v>250.71600000000001</v>
      </c>
      <c r="H32" s="2"/>
      <c r="I32" s="2"/>
      <c r="J32" s="2"/>
      <c r="K32" s="2"/>
      <c r="L32" s="2"/>
      <c r="M32" s="2"/>
      <c r="N32" s="4">
        <f t="shared" si="0"/>
        <v>1536.248</v>
      </c>
      <c r="AU32" s="80" t="str">
        <f t="shared" si="2"/>
        <v>Gasóleo A</v>
      </c>
      <c r="AV32" s="81">
        <f>HLOOKUP(MAXA(B4:M4),$B$4:$M$49,28,FALSE)</f>
        <v>0</v>
      </c>
      <c r="AW32" s="81"/>
    </row>
    <row r="33" spans="1:49" ht="16.5" customHeight="1" x14ac:dyDescent="0.2">
      <c r="A33" s="9" t="s">
        <v>31</v>
      </c>
      <c r="B33" s="3">
        <v>16.056999999999999</v>
      </c>
      <c r="C33" s="2">
        <v>43.819000000000003</v>
      </c>
      <c r="D33" s="2">
        <v>20.041</v>
      </c>
      <c r="E33" s="2">
        <v>34.475999999999999</v>
      </c>
      <c r="F33" s="2">
        <v>13.831</v>
      </c>
      <c r="G33" s="2">
        <v>38.195999999999998</v>
      </c>
      <c r="H33" s="2"/>
      <c r="I33" s="2"/>
      <c r="J33" s="2"/>
      <c r="K33" s="2"/>
      <c r="L33" s="2"/>
      <c r="M33" s="2"/>
      <c r="N33" s="4">
        <f t="shared" si="0"/>
        <v>166.42</v>
      </c>
      <c r="AU33" s="80" t="str">
        <f t="shared" si="2"/>
        <v>Gasóleo A 10 PPM</v>
      </c>
      <c r="AV33" s="81">
        <f>HLOOKUP(MAXA(B4:M4),$B$4:$M$49,29,FALSE)</f>
        <v>250.71600000000001</v>
      </c>
      <c r="AW33" s="81"/>
    </row>
    <row r="34" spans="1:49" ht="16.5" customHeight="1" x14ac:dyDescent="0.2">
      <c r="A34" s="9" t="s">
        <v>32</v>
      </c>
      <c r="B34" s="3">
        <v>11.744999999999999</v>
      </c>
      <c r="C34" s="2">
        <v>10.614000000000001</v>
      </c>
      <c r="D34" s="2">
        <v>11.478999999999999</v>
      </c>
      <c r="E34" s="2">
        <v>8.5120000000000005</v>
      </c>
      <c r="F34" s="2">
        <v>8.3800000000000008</v>
      </c>
      <c r="G34" s="2">
        <v>6.3220000000000001</v>
      </c>
      <c r="H34" s="2"/>
      <c r="I34" s="2"/>
      <c r="J34" s="2"/>
      <c r="K34" s="2"/>
      <c r="L34" s="2"/>
      <c r="M34" s="2"/>
      <c r="N34" s="4">
        <f t="shared" si="0"/>
        <v>57.052000000000007</v>
      </c>
      <c r="AU34" s="80" t="str">
        <f t="shared" si="2"/>
        <v>Gasóleo B</v>
      </c>
      <c r="AV34" s="81">
        <f>HLOOKUP(MAXA(B4:M4),$B$4:$M$49,30,FALSE)</f>
        <v>38.195999999999998</v>
      </c>
      <c r="AW34" s="81"/>
    </row>
    <row r="35" spans="1:49" ht="16.5" customHeight="1" x14ac:dyDescent="0.2">
      <c r="A35" s="9" t="s">
        <v>33</v>
      </c>
      <c r="B35" s="3">
        <v>69.126999999999995</v>
      </c>
      <c r="C35" s="2">
        <v>61.704000000000001</v>
      </c>
      <c r="D35" s="2">
        <v>64.162000000000006</v>
      </c>
      <c r="E35" s="2">
        <v>75.816999999999993</v>
      </c>
      <c r="F35" s="2">
        <v>79.024000000000001</v>
      </c>
      <c r="G35" s="2">
        <v>74.072000000000003</v>
      </c>
      <c r="H35" s="2"/>
      <c r="I35" s="2"/>
      <c r="J35" s="2"/>
      <c r="K35" s="2"/>
      <c r="L35" s="2"/>
      <c r="M35" s="2"/>
      <c r="N35" s="4">
        <f t="shared" si="0"/>
        <v>423.90600000000001</v>
      </c>
      <c r="AU35" s="80" t="str">
        <f t="shared" si="2"/>
        <v>Gasóleo C</v>
      </c>
      <c r="AV35" s="81">
        <f>HLOOKUP(MAXA(B4:M4),$B$4:$M$49,31,FALSE)</f>
        <v>6.3220000000000001</v>
      </c>
      <c r="AW35" s="81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/>
      <c r="I36" s="2"/>
      <c r="J36" s="2"/>
      <c r="K36" s="2"/>
      <c r="L36" s="2"/>
      <c r="M36" s="2"/>
      <c r="N36" s="4">
        <f t="shared" si="0"/>
        <v>0</v>
      </c>
      <c r="AU36" s="80" t="str">
        <f t="shared" si="2"/>
        <v>Gasóleo para uso marítimo</v>
      </c>
      <c r="AV36" s="81">
        <f>HLOOKUP(MAXA(B4:M4),$B$4:$M$49,32,FALSE)</f>
        <v>74.072000000000003</v>
      </c>
      <c r="AW36" s="81"/>
    </row>
    <row r="37" spans="1:49" ht="16.5" customHeight="1" x14ac:dyDescent="0.2">
      <c r="A37" s="9" t="s">
        <v>35</v>
      </c>
      <c r="B37" s="3">
        <v>1625.5330000000001</v>
      </c>
      <c r="C37" s="2">
        <v>1564.296</v>
      </c>
      <c r="D37" s="2">
        <v>1698.4470000000001</v>
      </c>
      <c r="E37" s="2">
        <v>1412.4479999999999</v>
      </c>
      <c r="F37" s="2">
        <v>1561.6469999999999</v>
      </c>
      <c r="G37" s="2">
        <v>1562.0510000000002</v>
      </c>
      <c r="H37" s="2"/>
      <c r="I37" s="2"/>
      <c r="J37" s="2"/>
      <c r="K37" s="2"/>
      <c r="L37" s="2"/>
      <c r="M37" s="2"/>
      <c r="N37" s="4">
        <f t="shared" si="0"/>
        <v>9424.4220000000005</v>
      </c>
      <c r="AU37" s="80" t="str">
        <f t="shared" si="2"/>
        <v>Diésel para uso marítimo</v>
      </c>
      <c r="AV37" s="81">
        <f>HLOOKUP(MAXA(B4:M4),$B$4:$M$49,33,FALSE)</f>
        <v>0</v>
      </c>
      <c r="AW37" s="81"/>
    </row>
    <row r="38" spans="1:49" ht="16.5" customHeight="1" x14ac:dyDescent="0.2">
      <c r="A38" s="9" t="s">
        <v>36</v>
      </c>
      <c r="B38" s="3">
        <v>27.832000000000001</v>
      </c>
      <c r="C38" s="2">
        <v>31.614999999999998</v>
      </c>
      <c r="D38" s="2">
        <v>33.893999999999998</v>
      </c>
      <c r="E38" s="2">
        <v>29.126000000000001</v>
      </c>
      <c r="F38" s="2">
        <v>36.539000000000001</v>
      </c>
      <c r="G38" s="2">
        <v>28.972999999999999</v>
      </c>
      <c r="H38" s="2"/>
      <c r="I38" s="2"/>
      <c r="J38" s="2"/>
      <c r="K38" s="2"/>
      <c r="L38" s="2"/>
      <c r="M38" s="2"/>
      <c r="N38" s="4">
        <f t="shared" si="0"/>
        <v>187.97900000000004</v>
      </c>
      <c r="AU38" s="80" t="str">
        <f t="shared" si="2"/>
        <v>Otros Gasóleos</v>
      </c>
      <c r="AV38" s="81">
        <f>HLOOKUP(MAXA(B4:M4),$B$4:$M$49,34,FALSE)</f>
        <v>1562.0510000000002</v>
      </c>
      <c r="AW38" s="81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/>
      <c r="I39" s="2"/>
      <c r="J39" s="2"/>
      <c r="K39" s="2"/>
      <c r="L39" s="2"/>
      <c r="M39" s="2"/>
      <c r="N39" s="4">
        <f t="shared" si="0"/>
        <v>0</v>
      </c>
      <c r="AU39" s="80" t="str">
        <f t="shared" si="2"/>
        <v>Biodiesel</v>
      </c>
      <c r="AV39" s="81">
        <f>HLOOKUP(MAXA(B4:M4),$B$4:$M$49,35,FALSE)</f>
        <v>28.972999999999999</v>
      </c>
      <c r="AW39" s="81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2.1000000000000001E-2</v>
      </c>
      <c r="H40" s="2"/>
      <c r="I40" s="2"/>
      <c r="J40" s="2"/>
      <c r="K40" s="2"/>
      <c r="L40" s="2"/>
      <c r="M40" s="2"/>
      <c r="N40" s="4">
        <f t="shared" si="0"/>
        <v>2.1000000000000001E-2</v>
      </c>
      <c r="AU40" s="80" t="str">
        <f t="shared" si="2"/>
        <v>Biodiesel Mezcla</v>
      </c>
      <c r="AV40" s="81">
        <f>HLOOKUP(MAXA(B4:M4),$B$4:$M$49,36,FALSE)</f>
        <v>0</v>
      </c>
      <c r="AW40" s="81"/>
    </row>
    <row r="41" spans="1:49" ht="16.5" customHeight="1" x14ac:dyDescent="0.2">
      <c r="A41" s="9" t="s">
        <v>39</v>
      </c>
      <c r="B41" s="3">
        <v>0</v>
      </c>
      <c r="C41" s="2">
        <v>0</v>
      </c>
      <c r="D41" s="2">
        <v>8.0000000000000002E-3</v>
      </c>
      <c r="E41" s="2">
        <v>3.0000000000000001E-3</v>
      </c>
      <c r="F41" s="2">
        <v>7.1999999999999995E-2</v>
      </c>
      <c r="G41" s="2">
        <v>7.6999999999999999E-2</v>
      </c>
      <c r="H41" s="2"/>
      <c r="I41" s="2"/>
      <c r="J41" s="2"/>
      <c r="K41" s="2"/>
      <c r="L41" s="2"/>
      <c r="M41" s="2"/>
      <c r="N41" s="4">
        <f t="shared" si="0"/>
        <v>0.15999999999999998</v>
      </c>
      <c r="AU41" s="80" t="str">
        <f t="shared" si="2"/>
        <v>Fuelóleo BIA</v>
      </c>
      <c r="AV41" s="81">
        <f>HLOOKUP(MAXA(B4:M4),$B$4:$M$49,37,FALSE)</f>
        <v>2.1000000000000001E-2</v>
      </c>
      <c r="AW41" s="81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/>
      <c r="I42" s="2"/>
      <c r="J42" s="2"/>
      <c r="K42" s="2"/>
      <c r="L42" s="2"/>
      <c r="M42" s="2"/>
      <c r="N42" s="4">
        <f t="shared" si="0"/>
        <v>0</v>
      </c>
      <c r="AU42" s="80" t="str">
        <f t="shared" si="2"/>
        <v>Fuelóleo de refineria</v>
      </c>
      <c r="AV42" s="81">
        <f>HLOOKUP(MAXA(B4:M4),$B$4:$M$49,38,FALSE)</f>
        <v>7.6999999999999999E-2</v>
      </c>
      <c r="AW42" s="81"/>
    </row>
    <row r="43" spans="1:49" ht="16.5" customHeight="1" x14ac:dyDescent="0.2">
      <c r="A43" s="9" t="s">
        <v>40</v>
      </c>
      <c r="B43" s="3">
        <v>352.94900000000001</v>
      </c>
      <c r="C43" s="2">
        <v>324.98</v>
      </c>
      <c r="D43" s="2">
        <v>220.25399999999999</v>
      </c>
      <c r="E43" s="2">
        <v>289.10199999999998</v>
      </c>
      <c r="F43" s="2">
        <v>324.642</v>
      </c>
      <c r="G43" s="2">
        <v>321.29899999999998</v>
      </c>
      <c r="H43" s="2"/>
      <c r="I43" s="2"/>
      <c r="J43" s="2"/>
      <c r="K43" s="2"/>
      <c r="L43" s="2"/>
      <c r="M43" s="2"/>
      <c r="N43" s="4">
        <f t="shared" si="0"/>
        <v>1833.2260000000001</v>
      </c>
      <c r="AU43" s="80" t="str">
        <f t="shared" si="2"/>
        <v>Otros combustibles para uso marítimo</v>
      </c>
      <c r="AV43" s="81">
        <f>HLOOKUP(MAXA(B4:M4),$B$4:$M$49,39,FALSE)</f>
        <v>0</v>
      </c>
      <c r="AW43" s="81"/>
    </row>
    <row r="44" spans="1:49" ht="16.5" customHeight="1" x14ac:dyDescent="0.2">
      <c r="A44" s="9" t="s">
        <v>41</v>
      </c>
      <c r="B44" s="3">
        <v>25.298999999999999</v>
      </c>
      <c r="C44" s="2">
        <v>20.347000000000001</v>
      </c>
      <c r="D44" s="2">
        <v>23.401</v>
      </c>
      <c r="E44" s="2">
        <v>18.108000000000001</v>
      </c>
      <c r="F44" s="2">
        <v>19.988</v>
      </c>
      <c r="G44" s="2">
        <v>25.501999999999999</v>
      </c>
      <c r="H44" s="2"/>
      <c r="I44" s="2"/>
      <c r="J44" s="2"/>
      <c r="K44" s="2"/>
      <c r="L44" s="2"/>
      <c r="M44" s="2"/>
      <c r="N44" s="4">
        <f t="shared" si="0"/>
        <v>132.64500000000001</v>
      </c>
      <c r="AU44" s="80" t="str">
        <f t="shared" si="2"/>
        <v>Otros Fuelóleos</v>
      </c>
      <c r="AV44" s="81">
        <f>HLOOKUP(MAXA(B4:M4),$B$4:$M$49,40,FALSE)</f>
        <v>321.29899999999998</v>
      </c>
      <c r="AW44" s="81"/>
    </row>
    <row r="45" spans="1:49" ht="16.5" customHeight="1" x14ac:dyDescent="0.2">
      <c r="A45" s="9" t="s">
        <v>42</v>
      </c>
      <c r="B45" s="3">
        <v>116.541</v>
      </c>
      <c r="C45" s="2">
        <v>119.774</v>
      </c>
      <c r="D45" s="2">
        <v>101.82599999999999</v>
      </c>
      <c r="E45" s="2">
        <v>145.04900000000001</v>
      </c>
      <c r="F45" s="2">
        <v>135.35900000000001</v>
      </c>
      <c r="G45" s="2">
        <v>192.636</v>
      </c>
      <c r="H45" s="2"/>
      <c r="I45" s="2"/>
      <c r="J45" s="2"/>
      <c r="K45" s="2"/>
      <c r="L45" s="2"/>
      <c r="M45" s="2"/>
      <c r="N45" s="4">
        <f t="shared" si="0"/>
        <v>811.18499999999995</v>
      </c>
      <c r="AU45" s="80" t="str">
        <f t="shared" si="2"/>
        <v>Aceites y bases lubricantes</v>
      </c>
      <c r="AV45" s="81">
        <f>HLOOKUP(MAXA(B4:M4),$B$4:$M$49,41,FALSE)</f>
        <v>25.501999999999999</v>
      </c>
      <c r="AW45" s="81"/>
    </row>
    <row r="46" spans="1:49" ht="16.5" customHeight="1" x14ac:dyDescent="0.2">
      <c r="A46" s="9" t="s">
        <v>43</v>
      </c>
      <c r="B46" s="3">
        <v>10.762</v>
      </c>
      <c r="C46" s="2">
        <v>9.2319999999999993</v>
      </c>
      <c r="D46" s="2">
        <v>11.792999999999999</v>
      </c>
      <c r="E46" s="2">
        <v>7.1879999999999997</v>
      </c>
      <c r="F46" s="2">
        <v>7.89</v>
      </c>
      <c r="G46" s="2">
        <v>10.404999999999999</v>
      </c>
      <c r="H46" s="2"/>
      <c r="I46" s="2"/>
      <c r="J46" s="2"/>
      <c r="K46" s="2"/>
      <c r="L46" s="2"/>
      <c r="M46" s="2"/>
      <c r="N46" s="4">
        <f t="shared" si="0"/>
        <v>57.27</v>
      </c>
      <c r="AU46" s="80" t="str">
        <f t="shared" si="2"/>
        <v>Productos asfálticos</v>
      </c>
      <c r="AV46" s="81">
        <f>HLOOKUP(MAXA(B4:M4),$B$4:$M$49,42,FALSE)</f>
        <v>192.636</v>
      </c>
      <c r="AW46" s="81"/>
    </row>
    <row r="47" spans="1:49" ht="16.5" customHeight="1" x14ac:dyDescent="0.2">
      <c r="A47" s="9" t="s">
        <v>44</v>
      </c>
      <c r="B47" s="3">
        <v>5.4790000000000001</v>
      </c>
      <c r="C47" s="2">
        <v>5.742</v>
      </c>
      <c r="D47" s="2">
        <v>5.3330000000000002</v>
      </c>
      <c r="E47" s="2">
        <v>5.3170000000000002</v>
      </c>
      <c r="F47" s="2">
        <v>5.4550000000000001</v>
      </c>
      <c r="G47" s="2">
        <v>5.69</v>
      </c>
      <c r="H47" s="2"/>
      <c r="I47" s="2"/>
      <c r="J47" s="2"/>
      <c r="K47" s="2"/>
      <c r="L47" s="2"/>
      <c r="M47" s="2"/>
      <c r="N47" s="4">
        <f t="shared" si="0"/>
        <v>33.015999999999998</v>
      </c>
      <c r="AU47" s="80" t="str">
        <f t="shared" si="2"/>
        <v>Disolventes</v>
      </c>
      <c r="AV47" s="81">
        <f>HLOOKUP(MAXA(B4:M4),$B$4:$M$49,43,FALSE)</f>
        <v>10.404999999999999</v>
      </c>
      <c r="AW47" s="81"/>
    </row>
    <row r="48" spans="1:49" ht="16.5" customHeight="1" x14ac:dyDescent="0.2">
      <c r="A48" s="9" t="s">
        <v>45</v>
      </c>
      <c r="B48" s="3">
        <v>260.82100000000003</v>
      </c>
      <c r="C48" s="2">
        <v>249.82400000000001</v>
      </c>
      <c r="D48" s="2">
        <v>293.46100000000001</v>
      </c>
      <c r="E48" s="2">
        <v>244.34899999999999</v>
      </c>
      <c r="F48" s="2">
        <v>283.19799999999998</v>
      </c>
      <c r="G48" s="2">
        <v>291.35300000000001</v>
      </c>
      <c r="H48" s="2"/>
      <c r="I48" s="2"/>
      <c r="J48" s="2"/>
      <c r="K48" s="2"/>
      <c r="L48" s="2"/>
      <c r="M48" s="2"/>
      <c r="N48" s="4">
        <f t="shared" si="0"/>
        <v>1623.0059999999999</v>
      </c>
      <c r="AU48" s="80" t="str">
        <f t="shared" si="2"/>
        <v>Parafinas</v>
      </c>
      <c r="AV48" s="81">
        <f>HLOOKUP(MAXA(B4:M4),$B$4:$M$49,44,FALSE)</f>
        <v>5.69</v>
      </c>
      <c r="AW48" s="81"/>
    </row>
    <row r="49" spans="1:49" ht="18" customHeight="1" x14ac:dyDescent="0.2">
      <c r="A49" s="10" t="s">
        <v>52</v>
      </c>
      <c r="B49" s="7">
        <v>280.41699999999946</v>
      </c>
      <c r="C49" s="5">
        <v>186.78799999999956</v>
      </c>
      <c r="D49" s="5">
        <v>254.91700000000128</v>
      </c>
      <c r="E49" s="5">
        <v>194.22499999999854</v>
      </c>
      <c r="F49" s="5">
        <v>171.73299999999927</v>
      </c>
      <c r="G49" s="5">
        <v>244.98199999999997</v>
      </c>
      <c r="H49" s="5"/>
      <c r="I49" s="5"/>
      <c r="J49" s="5"/>
      <c r="K49" s="5"/>
      <c r="L49" s="5"/>
      <c r="M49" s="5"/>
      <c r="N49" s="6">
        <f t="shared" si="0"/>
        <v>1333.0619999999981</v>
      </c>
      <c r="AU49" s="80" t="str">
        <f t="shared" si="2"/>
        <v>Coque de petróleo</v>
      </c>
      <c r="AV49" s="81">
        <f>HLOOKUP(MAXA(B4:M4),$B$4:$M$49,45,FALSE)</f>
        <v>291.35300000000001</v>
      </c>
      <c r="AW49" s="81"/>
    </row>
    <row r="50" spans="1:49" x14ac:dyDescent="0.2">
      <c r="F50" s="41"/>
      <c r="AU50" s="80" t="str">
        <f t="shared" si="2"/>
        <v>Otros Productos</v>
      </c>
      <c r="AV50" s="81">
        <f>HLOOKUP(MAXA(B4:M4),$B$4:$M$49,46,FALSE)</f>
        <v>244.98199999999997</v>
      </c>
      <c r="AW50" s="81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2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6"/>
  <sheetViews>
    <sheetView showGridLines="0" topLeftCell="I78" zoomScale="70" zoomScaleNormal="70" workbookViewId="0">
      <selection activeCell="AD16" sqref="AD16"/>
    </sheetView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44" width="11" style="59"/>
    <col min="45" max="45" width="9.375" style="59" customWidth="1"/>
    <col min="46" max="47" width="11" style="59"/>
    <col min="48" max="48" width="11" style="90"/>
    <col min="49" max="16384" width="11" style="59"/>
  </cols>
  <sheetData>
    <row r="1" spans="1:15" ht="15" x14ac:dyDescent="0.25">
      <c r="A1" s="57" t="s">
        <v>13</v>
      </c>
      <c r="B1" s="58">
        <v>2013</v>
      </c>
      <c r="C1" s="58">
        <v>2014</v>
      </c>
      <c r="D1" s="58">
        <v>2015</v>
      </c>
      <c r="E1" s="58">
        <v>2016</v>
      </c>
      <c r="F1" s="58">
        <v>2017</v>
      </c>
      <c r="G1" s="58">
        <v>2018</v>
      </c>
      <c r="H1" s="58">
        <v>2019</v>
      </c>
      <c r="I1" s="58">
        <v>2020</v>
      </c>
      <c r="J1" s="58">
        <v>2021</v>
      </c>
      <c r="K1" s="58">
        <v>2022</v>
      </c>
      <c r="L1" s="58">
        <v>2023</v>
      </c>
      <c r="M1" s="58">
        <v>2024</v>
      </c>
    </row>
    <row r="2" spans="1:15" ht="15" x14ac:dyDescent="0.2">
      <c r="A2" s="60" t="s">
        <v>0</v>
      </c>
      <c r="B2" s="61">
        <v>368.34000000000003</v>
      </c>
      <c r="C2" s="62">
        <v>305.411</v>
      </c>
      <c r="D2" s="62">
        <v>232.244</v>
      </c>
      <c r="E2" s="63">
        <v>140.89499999999998</v>
      </c>
      <c r="F2" s="63">
        <v>120.10500000000002</v>
      </c>
      <c r="G2" s="63">
        <v>86.990999999999985</v>
      </c>
      <c r="H2" s="63">
        <v>40.245000000000005</v>
      </c>
      <c r="I2" s="63">
        <v>27.536000000000001</v>
      </c>
      <c r="J2" s="63">
        <v>5.8159999999999998</v>
      </c>
      <c r="K2" s="63">
        <v>0.91199999999999992</v>
      </c>
      <c r="L2" s="64">
        <v>0.67200000000000004</v>
      </c>
      <c r="M2" s="64">
        <v>0.59899999999999998</v>
      </c>
      <c r="N2" s="69"/>
      <c r="O2" s="69"/>
    </row>
    <row r="3" spans="1:15" ht="15.75" x14ac:dyDescent="0.2">
      <c r="A3" s="65" t="s">
        <v>1</v>
      </c>
      <c r="B3" s="61">
        <v>57871</v>
      </c>
      <c r="C3" s="62">
        <v>59054</v>
      </c>
      <c r="D3" s="62">
        <v>64726</v>
      </c>
      <c r="E3" s="63">
        <v>64171</v>
      </c>
      <c r="F3" s="63">
        <v>65958</v>
      </c>
      <c r="G3" s="63">
        <v>67586</v>
      </c>
      <c r="H3" s="63">
        <v>66319</v>
      </c>
      <c r="I3" s="63">
        <v>54852</v>
      </c>
      <c r="J3" s="63">
        <v>56171.787000000004</v>
      </c>
      <c r="K3" s="63">
        <v>63595.529000000002</v>
      </c>
      <c r="L3" s="64">
        <v>61558.654000000002</v>
      </c>
      <c r="M3" s="64">
        <v>64588.152999999998</v>
      </c>
      <c r="N3" s="69"/>
      <c r="O3" s="69"/>
    </row>
    <row r="4" spans="1:15" ht="15" x14ac:dyDescent="0.2">
      <c r="A4" s="66" t="s">
        <v>2</v>
      </c>
      <c r="B4" s="61">
        <v>1965</v>
      </c>
      <c r="C4" s="62">
        <v>1633</v>
      </c>
      <c r="D4" s="62">
        <v>181</v>
      </c>
      <c r="E4" s="63">
        <v>-422</v>
      </c>
      <c r="F4" s="63">
        <v>-733</v>
      </c>
      <c r="G4" s="63">
        <v>-391</v>
      </c>
      <c r="H4" s="63">
        <v>-118</v>
      </c>
      <c r="I4" s="63">
        <v>544</v>
      </c>
      <c r="J4" s="63">
        <v>1778.8929999999973</v>
      </c>
      <c r="K4" s="63">
        <v>-475.32299999999941</v>
      </c>
      <c r="L4" s="64">
        <v>-346.42199999999957</v>
      </c>
      <c r="M4" s="64">
        <v>111.55200000000059</v>
      </c>
      <c r="N4" s="69"/>
      <c r="O4" s="69"/>
    </row>
    <row r="5" spans="1:15" ht="15" x14ac:dyDescent="0.2">
      <c r="A5" s="66" t="s">
        <v>3</v>
      </c>
      <c r="B5" s="61">
        <v>85</v>
      </c>
      <c r="C5" s="62">
        <v>330</v>
      </c>
      <c r="D5" s="62">
        <v>-73</v>
      </c>
      <c r="E5" s="63">
        <v>-676</v>
      </c>
      <c r="F5" s="63">
        <v>40</v>
      </c>
      <c r="G5" s="63">
        <v>-220</v>
      </c>
      <c r="H5" s="63">
        <v>695</v>
      </c>
      <c r="I5" s="63">
        <v>-271</v>
      </c>
      <c r="J5" s="63">
        <v>-744.52100000000007</v>
      </c>
      <c r="K5" s="63">
        <v>202.49099999999999</v>
      </c>
      <c r="L5" s="64">
        <v>-326.49300000000005</v>
      </c>
      <c r="M5" s="64">
        <v>252.315</v>
      </c>
      <c r="N5" s="69"/>
      <c r="O5" s="69"/>
    </row>
    <row r="6" spans="1:15" ht="15" x14ac:dyDescent="0.2">
      <c r="A6" s="66" t="s">
        <v>4</v>
      </c>
      <c r="B6" s="61">
        <v>-132</v>
      </c>
      <c r="C6" s="62">
        <v>-1</v>
      </c>
      <c r="D6" s="62">
        <v>-62</v>
      </c>
      <c r="E6" s="63">
        <v>193</v>
      </c>
      <c r="F6" s="63">
        <v>-164</v>
      </c>
      <c r="G6" s="63">
        <v>-89</v>
      </c>
      <c r="H6" s="63">
        <v>235</v>
      </c>
      <c r="I6" s="63">
        <v>-395</v>
      </c>
      <c r="J6" s="63">
        <v>-75.290999999999912</v>
      </c>
      <c r="K6" s="63">
        <v>144.61299999999994</v>
      </c>
      <c r="L6" s="64">
        <v>-25.735999999999933</v>
      </c>
      <c r="M6" s="64">
        <v>-28.793000000000092</v>
      </c>
      <c r="N6" s="69"/>
      <c r="O6" s="69"/>
    </row>
    <row r="7" spans="1:15" ht="15" x14ac:dyDescent="0.2">
      <c r="A7" s="66" t="s">
        <v>5</v>
      </c>
      <c r="B7" s="61">
        <v>800</v>
      </c>
      <c r="C7" s="62">
        <v>513</v>
      </c>
      <c r="D7" s="62">
        <v>389</v>
      </c>
      <c r="E7" s="63">
        <v>1323</v>
      </c>
      <c r="F7" s="63">
        <v>1356</v>
      </c>
      <c r="G7" s="63">
        <v>1126</v>
      </c>
      <c r="H7" s="63">
        <v>1244</v>
      </c>
      <c r="I7" s="63">
        <v>525</v>
      </c>
      <c r="J7" s="63">
        <v>271</v>
      </c>
      <c r="K7" s="63">
        <v>1018.2149999999999</v>
      </c>
      <c r="L7" s="64">
        <v>899.87900000000002</v>
      </c>
      <c r="M7" s="64">
        <v>537.47199999999998</v>
      </c>
      <c r="N7" s="69"/>
      <c r="O7" s="69"/>
    </row>
    <row r="8" spans="1:15" ht="15" x14ac:dyDescent="0.2">
      <c r="A8" s="66" t="s">
        <v>6</v>
      </c>
      <c r="B8" s="61">
        <v>12</v>
      </c>
      <c r="C8" s="62">
        <v>7</v>
      </c>
      <c r="D8" s="62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N8" s="69"/>
      <c r="O8" s="69"/>
    </row>
    <row r="9" spans="1:15" ht="15.75" x14ac:dyDescent="0.2">
      <c r="A9" s="65" t="s">
        <v>7</v>
      </c>
      <c r="B9" s="61">
        <v>61039.340000000004</v>
      </c>
      <c r="C9" s="62">
        <v>61169.411</v>
      </c>
      <c r="D9" s="62">
        <v>65663.244000000006</v>
      </c>
      <c r="E9" s="63">
        <v>65695.89499999999</v>
      </c>
      <c r="F9" s="63">
        <v>66825</v>
      </c>
      <c r="G9" s="63">
        <v>68718</v>
      </c>
      <c r="H9" s="63">
        <v>66555.244999999995</v>
      </c>
      <c r="I9" s="63">
        <v>56614.535999999993</v>
      </c>
      <c r="J9" s="63">
        <v>59047.308000000005</v>
      </c>
      <c r="K9" s="63">
        <v>63792.228999999999</v>
      </c>
      <c r="L9" s="64">
        <v>62465.011999999995</v>
      </c>
      <c r="M9" s="64">
        <v>65014.254000000001</v>
      </c>
      <c r="N9" s="69"/>
      <c r="O9" s="69"/>
    </row>
    <row r="10" spans="1:15" ht="15" x14ac:dyDescent="0.2">
      <c r="A10" s="66" t="s">
        <v>12</v>
      </c>
      <c r="B10" s="61">
        <v>58143</v>
      </c>
      <c r="C10" s="62">
        <v>59022</v>
      </c>
      <c r="D10" s="62">
        <v>65031</v>
      </c>
      <c r="E10" s="63">
        <v>64988</v>
      </c>
      <c r="F10" s="63">
        <v>66038</v>
      </c>
      <c r="G10" s="63">
        <v>67894</v>
      </c>
      <c r="H10" s="63">
        <v>65648</v>
      </c>
      <c r="I10" s="63">
        <v>55153</v>
      </c>
      <c r="J10" s="63">
        <v>56922.123999999996</v>
      </c>
      <c r="K10" s="63">
        <v>63393.94999999999</v>
      </c>
      <c r="L10" s="64">
        <v>61885.819000000003</v>
      </c>
      <c r="M10" s="64">
        <v>64336.436999999991</v>
      </c>
      <c r="N10" s="69"/>
      <c r="O10" s="69"/>
    </row>
    <row r="11" spans="1:15" ht="15" x14ac:dyDescent="0.2">
      <c r="A11" s="66" t="s">
        <v>8</v>
      </c>
      <c r="B11" s="61">
        <v>537.55000000000018</v>
      </c>
      <c r="C11" s="62">
        <v>606.80799999999999</v>
      </c>
      <c r="D11" s="62">
        <v>678.15200000000277</v>
      </c>
      <c r="E11" s="63">
        <v>740.9360000000006</v>
      </c>
      <c r="F11" s="63">
        <v>927.83299999999781</v>
      </c>
      <c r="G11" s="63">
        <v>848.35799999999654</v>
      </c>
      <c r="H11" s="63">
        <v>1042.3570000000036</v>
      </c>
      <c r="I11" s="63">
        <v>807.31799999999839</v>
      </c>
      <c r="J11" s="63">
        <v>870.51200000000154</v>
      </c>
      <c r="K11" s="63">
        <v>1664.4920000000029</v>
      </c>
      <c r="L11" s="64">
        <v>991.699999999998</v>
      </c>
      <c r="M11" s="64">
        <v>1487.2070000000012</v>
      </c>
      <c r="N11" s="69"/>
      <c r="O11" s="70"/>
    </row>
    <row r="12" spans="1:15" ht="15.75" x14ac:dyDescent="0.2">
      <c r="A12" s="65" t="s">
        <v>9</v>
      </c>
      <c r="B12" s="61">
        <v>60501.79</v>
      </c>
      <c r="C12" s="62">
        <v>60562.602999999988</v>
      </c>
      <c r="D12" s="62">
        <v>64983.195999999996</v>
      </c>
      <c r="E12" s="63">
        <v>64955.064000000006</v>
      </c>
      <c r="F12" s="63">
        <v>65897.167000000001</v>
      </c>
      <c r="G12" s="63">
        <v>67869.641999999993</v>
      </c>
      <c r="H12" s="63">
        <v>65512.642999999996</v>
      </c>
      <c r="I12" s="63">
        <v>55806.682000000001</v>
      </c>
      <c r="J12" s="63">
        <v>58176.796000000002</v>
      </c>
      <c r="K12" s="63">
        <v>62127.737000000001</v>
      </c>
      <c r="L12" s="64">
        <v>61473.311999999991</v>
      </c>
      <c r="M12" s="64">
        <v>63527.047000000013</v>
      </c>
      <c r="N12" s="69"/>
      <c r="O12" s="69"/>
    </row>
    <row r="13" spans="1:15" ht="15" x14ac:dyDescent="0.2">
      <c r="A13" s="67" t="s">
        <v>14</v>
      </c>
      <c r="B13" s="61">
        <v>1879.5739999999998</v>
      </c>
      <c r="C13" s="62">
        <v>1955.3679999999999</v>
      </c>
      <c r="D13" s="62">
        <v>2363.9790000000003</v>
      </c>
      <c r="E13" s="63">
        <v>2365.8740000000003</v>
      </c>
      <c r="F13" s="63">
        <v>2346.299</v>
      </c>
      <c r="G13" s="63">
        <v>2236.3780000000002</v>
      </c>
      <c r="H13" s="63">
        <v>2113.3359999999998</v>
      </c>
      <c r="I13" s="63">
        <v>1907.335</v>
      </c>
      <c r="J13" s="63">
        <v>1952.643</v>
      </c>
      <c r="K13" s="63">
        <v>2704.739</v>
      </c>
      <c r="L13" s="64">
        <v>2094.491</v>
      </c>
      <c r="M13" s="64">
        <v>2051.183</v>
      </c>
      <c r="N13" s="69"/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N14" s="69"/>
      <c r="O14" s="69"/>
    </row>
    <row r="15" spans="1:15" ht="15" x14ac:dyDescent="0.2">
      <c r="A15" s="67" t="s">
        <v>16</v>
      </c>
      <c r="B15" s="61">
        <v>1144.5999999999999</v>
      </c>
      <c r="C15" s="62">
        <v>1112.5830000000001</v>
      </c>
      <c r="D15" s="62">
        <v>1173.1079999999999</v>
      </c>
      <c r="E15" s="63">
        <v>1178.07</v>
      </c>
      <c r="F15" s="63">
        <v>1152.7330000000002</v>
      </c>
      <c r="G15" s="63">
        <v>1103.134</v>
      </c>
      <c r="H15" s="63">
        <v>958.995</v>
      </c>
      <c r="I15" s="63">
        <v>854.30399999999997</v>
      </c>
      <c r="J15" s="63">
        <v>1071.2329999999999</v>
      </c>
      <c r="K15" s="63">
        <v>1100.6819999999998</v>
      </c>
      <c r="L15" s="64">
        <v>1055.7279999999998</v>
      </c>
      <c r="M15" s="64">
        <v>1113.3280000000002</v>
      </c>
      <c r="N15" s="69"/>
      <c r="O15" s="69"/>
    </row>
    <row r="16" spans="1:15" ht="15" x14ac:dyDescent="0.2">
      <c r="A16" s="67" t="s">
        <v>17</v>
      </c>
      <c r="B16" s="61">
        <v>567.88700000000006</v>
      </c>
      <c r="C16" s="62">
        <v>462.25600000000003</v>
      </c>
      <c r="D16" s="62">
        <v>525.89199999999994</v>
      </c>
      <c r="E16" s="63">
        <v>362.93</v>
      </c>
      <c r="F16" s="63">
        <v>248.26700000000002</v>
      </c>
      <c r="G16" s="63">
        <v>207.77599999999998</v>
      </c>
      <c r="H16" s="63">
        <v>208.005</v>
      </c>
      <c r="I16" s="63">
        <v>65.696000000000026</v>
      </c>
      <c r="J16" s="63">
        <v>168.73700000000002</v>
      </c>
      <c r="K16" s="63">
        <v>34.631</v>
      </c>
      <c r="L16" s="64">
        <v>138.84900000000005</v>
      </c>
      <c r="M16" s="64">
        <v>137.88999999999999</v>
      </c>
      <c r="N16" s="69"/>
      <c r="O16" s="69"/>
    </row>
    <row r="17" spans="1:15" ht="15" x14ac:dyDescent="0.2">
      <c r="A17" s="67" t="s">
        <v>18</v>
      </c>
      <c r="B17" s="61">
        <v>345.08400000000006</v>
      </c>
      <c r="C17" s="62">
        <v>303.50700000000001</v>
      </c>
      <c r="D17" s="62">
        <v>1240</v>
      </c>
      <c r="E17" s="63">
        <v>1194</v>
      </c>
      <c r="F17" s="63">
        <v>1368</v>
      </c>
      <c r="G17" s="63">
        <v>1756</v>
      </c>
      <c r="H17" s="63">
        <v>1438</v>
      </c>
      <c r="I17" s="63">
        <v>1309</v>
      </c>
      <c r="J17" s="63">
        <v>1443.748</v>
      </c>
      <c r="K17" s="63">
        <v>1678.6889999999999</v>
      </c>
      <c r="L17" s="64">
        <v>1641.7580000000003</v>
      </c>
      <c r="M17" s="64">
        <v>1735.9580000000001</v>
      </c>
      <c r="N17" s="69"/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N18" s="69"/>
      <c r="O18" s="69"/>
    </row>
    <row r="19" spans="1:15" ht="15" x14ac:dyDescent="0.2">
      <c r="A19" s="67" t="s">
        <v>20</v>
      </c>
      <c r="B19" s="61">
        <v>1287.2289999999998</v>
      </c>
      <c r="C19" s="62">
        <v>1309.3149999999998</v>
      </c>
      <c r="D19" s="62">
        <v>1093.296</v>
      </c>
      <c r="E19" s="63">
        <v>1019.001</v>
      </c>
      <c r="F19" s="63">
        <v>878.40499999999986</v>
      </c>
      <c r="G19" s="63">
        <v>1195.105</v>
      </c>
      <c r="H19" s="63">
        <v>1095.317</v>
      </c>
      <c r="I19" s="63">
        <v>1053.1750000000002</v>
      </c>
      <c r="J19" s="63">
        <v>1186.8810000000001</v>
      </c>
      <c r="K19" s="63">
        <v>1211.8000000000002</v>
      </c>
      <c r="L19" s="64">
        <v>945.81700000000001</v>
      </c>
      <c r="M19" s="64">
        <v>1138.0340000000001</v>
      </c>
      <c r="N19" s="69"/>
      <c r="O19" s="69"/>
    </row>
    <row r="20" spans="1:15" ht="15" x14ac:dyDescent="0.2">
      <c r="A20" s="67" t="s">
        <v>21</v>
      </c>
      <c r="B20" s="61">
        <v>59.605999999999995</v>
      </c>
      <c r="C20" s="62">
        <v>75.36699999999999</v>
      </c>
      <c r="D20" s="62">
        <v>50.234000000000002</v>
      </c>
      <c r="E20" s="63">
        <v>60.134</v>
      </c>
      <c r="F20" s="63">
        <v>71.317000000000007</v>
      </c>
      <c r="G20" s="63">
        <v>61.750000000000007</v>
      </c>
      <c r="H20" s="63">
        <v>77.353999999999999</v>
      </c>
      <c r="I20" s="63">
        <v>58.756999999999998</v>
      </c>
      <c r="J20" s="63">
        <v>55.305999999999997</v>
      </c>
      <c r="K20" s="63">
        <v>66.042999999999992</v>
      </c>
      <c r="L20" s="64">
        <v>97.459000000000003</v>
      </c>
      <c r="M20" s="64">
        <v>95.51900000000002</v>
      </c>
      <c r="N20" s="69"/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N21" s="69"/>
      <c r="O21" s="69"/>
    </row>
    <row r="22" spans="1:15" ht="15" x14ac:dyDescent="0.2">
      <c r="A22" s="67" t="s">
        <v>23</v>
      </c>
      <c r="B22" s="61">
        <v>6124.0770000000002</v>
      </c>
      <c r="C22" s="62">
        <v>5890.1620000000003</v>
      </c>
      <c r="D22" s="62">
        <v>7961.8929999999991</v>
      </c>
      <c r="E22" s="63">
        <v>8475.8809999999994</v>
      </c>
      <c r="F22" s="63">
        <v>8150.8120000000008</v>
      </c>
      <c r="G22" s="63">
        <v>7954.1570000000011</v>
      </c>
      <c r="H22" s="63">
        <v>7914.9160000000002</v>
      </c>
      <c r="I22" s="63">
        <v>6711.4719999999998</v>
      </c>
      <c r="J22" s="63">
        <v>8425.6710000000003</v>
      </c>
      <c r="K22" s="63">
        <v>8600.77</v>
      </c>
      <c r="L22" s="64">
        <v>8649.3249999999989</v>
      </c>
      <c r="M22" s="64">
        <v>8535.6580000000013</v>
      </c>
      <c r="N22" s="69"/>
      <c r="O22" s="69"/>
    </row>
    <row r="23" spans="1:15" ht="15" x14ac:dyDescent="0.2">
      <c r="A23" s="67" t="s">
        <v>24</v>
      </c>
      <c r="B23" s="61">
        <v>0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N23" s="69"/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N24" s="69"/>
      <c r="O24" s="69"/>
    </row>
    <row r="25" spans="1:15" ht="15" x14ac:dyDescent="0.2">
      <c r="A25" s="67" t="s">
        <v>26</v>
      </c>
      <c r="B25" s="61">
        <v>148.95000000000002</v>
      </c>
      <c r="C25" s="62">
        <v>197.20900000000003</v>
      </c>
      <c r="D25" s="62">
        <v>225.935</v>
      </c>
      <c r="E25" s="63">
        <v>213.608</v>
      </c>
      <c r="F25" s="63">
        <v>188.614</v>
      </c>
      <c r="G25" s="63">
        <v>380.85499999999996</v>
      </c>
      <c r="H25" s="63">
        <v>454.21</v>
      </c>
      <c r="I25" s="63">
        <v>155.31899999999996</v>
      </c>
      <c r="J25" s="63">
        <v>315.61900000000003</v>
      </c>
      <c r="K25" s="63">
        <v>427.49299999999994</v>
      </c>
      <c r="L25" s="64">
        <v>398.375</v>
      </c>
      <c r="M25" s="64">
        <v>524.63</v>
      </c>
      <c r="N25" s="69"/>
      <c r="O25" s="69"/>
    </row>
    <row r="26" spans="1:15" ht="15" x14ac:dyDescent="0.2">
      <c r="A26" s="67" t="s">
        <v>27</v>
      </c>
      <c r="B26" s="61">
        <v>2.2000000000000002E-2</v>
      </c>
      <c r="C26" s="62">
        <v>3.0000000000000002E-2</v>
      </c>
      <c r="D26" s="62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N26" s="69"/>
      <c r="O26" s="69"/>
    </row>
    <row r="27" spans="1:15" ht="15" x14ac:dyDescent="0.2">
      <c r="A27" s="67" t="s">
        <v>28</v>
      </c>
      <c r="B27" s="61">
        <v>8477.628999999999</v>
      </c>
      <c r="C27" s="62">
        <v>8678.8389999999999</v>
      </c>
      <c r="D27" s="62">
        <v>9285.3820000000014</v>
      </c>
      <c r="E27" s="63">
        <v>8672.6139999999996</v>
      </c>
      <c r="F27" s="63">
        <v>9300.3379999999997</v>
      </c>
      <c r="G27" s="63">
        <v>10038.733</v>
      </c>
      <c r="H27" s="63">
        <v>9816.6459999999988</v>
      </c>
      <c r="I27" s="63">
        <v>7838.5070000000005</v>
      </c>
      <c r="J27" s="63">
        <v>8378.6840000000011</v>
      </c>
      <c r="K27" s="63">
        <v>9153.7040000000015</v>
      </c>
      <c r="L27" s="64">
        <v>9387.0400000000009</v>
      </c>
      <c r="M27" s="64">
        <v>9844.6370000000006</v>
      </c>
      <c r="N27" s="69"/>
      <c r="O27" s="69"/>
    </row>
    <row r="28" spans="1:15" ht="15" x14ac:dyDescent="0.2">
      <c r="A28" s="67" t="s">
        <v>29</v>
      </c>
      <c r="B28" s="61">
        <v>3.0000000000000001E-3</v>
      </c>
      <c r="C28" s="62">
        <v>5.0000000000000001E-3</v>
      </c>
      <c r="D28" s="62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N28" s="69"/>
      <c r="O28" s="69"/>
    </row>
    <row r="29" spans="1:15" ht="15" x14ac:dyDescent="0.2">
      <c r="A29" s="67" t="s">
        <v>30</v>
      </c>
      <c r="B29" s="61">
        <v>2436.9259999999999</v>
      </c>
      <c r="C29" s="62">
        <v>2208.1949999999997</v>
      </c>
      <c r="D29" s="62">
        <v>1983.4960000000001</v>
      </c>
      <c r="E29" s="63">
        <v>2904.6060000000007</v>
      </c>
      <c r="F29" s="63">
        <v>2956.1630000000005</v>
      </c>
      <c r="G29" s="63">
        <v>3166.7429999999995</v>
      </c>
      <c r="H29" s="63">
        <v>3181.0829999999996</v>
      </c>
      <c r="I29" s="63">
        <v>3224.8609999999999</v>
      </c>
      <c r="J29" s="63">
        <v>3061.7809999999999</v>
      </c>
      <c r="K29" s="63">
        <v>2962.4490000000001</v>
      </c>
      <c r="L29" s="64">
        <v>2479.116</v>
      </c>
      <c r="M29" s="64">
        <v>3020.4830000000002</v>
      </c>
      <c r="N29" s="69"/>
      <c r="O29" s="70"/>
    </row>
    <row r="30" spans="1:15" ht="15" x14ac:dyDescent="0.2">
      <c r="A30" s="67" t="s">
        <v>31</v>
      </c>
      <c r="B30" s="61">
        <v>410.09999999999997</v>
      </c>
      <c r="C30" s="62">
        <v>329.80400000000003</v>
      </c>
      <c r="D30" s="62">
        <v>249.31899999999999</v>
      </c>
      <c r="E30" s="63">
        <v>268.18200000000002</v>
      </c>
      <c r="F30" s="63">
        <v>313.66699999999997</v>
      </c>
      <c r="G30" s="63">
        <v>332.56800000000004</v>
      </c>
      <c r="H30" s="63">
        <v>282.54199999999997</v>
      </c>
      <c r="I30" s="63">
        <v>379.303</v>
      </c>
      <c r="J30" s="63">
        <v>377.07799999999992</v>
      </c>
      <c r="K30" s="63">
        <v>404.28500000000003</v>
      </c>
      <c r="L30" s="64">
        <v>270.95500000000004</v>
      </c>
      <c r="M30" s="64">
        <v>365.98799999999989</v>
      </c>
      <c r="N30" s="69"/>
      <c r="O30" s="69"/>
    </row>
    <row r="31" spans="1:15" ht="15" x14ac:dyDescent="0.2">
      <c r="A31" s="67" t="s">
        <v>32</v>
      </c>
      <c r="B31" s="61">
        <v>24.143999999999998</v>
      </c>
      <c r="C31" s="62">
        <v>221.791</v>
      </c>
      <c r="D31" s="62">
        <v>122.66900000000001</v>
      </c>
      <c r="E31" s="63">
        <v>84.996999999999986</v>
      </c>
      <c r="F31" s="63">
        <v>121.81199999999998</v>
      </c>
      <c r="G31" s="63">
        <v>53.104000000000006</v>
      </c>
      <c r="H31" s="63">
        <v>75.085000000000008</v>
      </c>
      <c r="I31" s="63">
        <v>63.033000000000001</v>
      </c>
      <c r="J31" s="63">
        <v>44.867999999999995</v>
      </c>
      <c r="K31" s="63">
        <v>49.397000000000006</v>
      </c>
      <c r="L31" s="64">
        <v>92.393000000000001</v>
      </c>
      <c r="M31" s="64">
        <v>111.916</v>
      </c>
      <c r="N31" s="69"/>
      <c r="O31" s="69"/>
    </row>
    <row r="32" spans="1:15" ht="15" x14ac:dyDescent="0.2">
      <c r="A32" s="67" t="s">
        <v>33</v>
      </c>
      <c r="B32" s="61">
        <v>13.891999999999999</v>
      </c>
      <c r="C32" s="62">
        <v>352.39799999999997</v>
      </c>
      <c r="D32" s="62">
        <v>634.03700000000003</v>
      </c>
      <c r="E32" s="63">
        <v>530.70800000000008</v>
      </c>
      <c r="F32" s="63">
        <v>377.63900000000001</v>
      </c>
      <c r="G32" s="63">
        <v>782.8570000000002</v>
      </c>
      <c r="H32" s="63">
        <v>745.18700000000001</v>
      </c>
      <c r="I32" s="63">
        <v>889.81500000000005</v>
      </c>
      <c r="J32" s="63">
        <v>898.79899999999998</v>
      </c>
      <c r="K32" s="63">
        <v>894.15199999999982</v>
      </c>
      <c r="L32" s="64">
        <v>664.36899999999991</v>
      </c>
      <c r="M32" s="64">
        <v>661.39700000000005</v>
      </c>
      <c r="N32" s="69"/>
      <c r="O32" s="69"/>
    </row>
    <row r="33" spans="1:15" ht="15" x14ac:dyDescent="0.2">
      <c r="A33" s="67" t="s">
        <v>34</v>
      </c>
      <c r="B33" s="61">
        <v>0.30299999999999999</v>
      </c>
      <c r="C33" s="62">
        <v>0.17100000000000001</v>
      </c>
      <c r="D33" s="62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N33" s="69"/>
      <c r="O33" s="69"/>
    </row>
    <row r="34" spans="1:15" ht="15" x14ac:dyDescent="0.2">
      <c r="A34" s="67" t="s">
        <v>35</v>
      </c>
      <c r="B34" s="61">
        <v>23759.561000000002</v>
      </c>
      <c r="C34" s="62">
        <v>23998.255999999994</v>
      </c>
      <c r="D34" s="62">
        <v>24477.329000000005</v>
      </c>
      <c r="E34" s="63">
        <v>22853.851999999999</v>
      </c>
      <c r="F34" s="63">
        <v>23356.296000000002</v>
      </c>
      <c r="G34" s="63">
        <v>22827.504000000001</v>
      </c>
      <c r="H34" s="63">
        <v>22851.345999999998</v>
      </c>
      <c r="I34" s="63">
        <v>19692.742000000002</v>
      </c>
      <c r="J34" s="63">
        <v>19803.856</v>
      </c>
      <c r="K34" s="63">
        <v>21713.006999999998</v>
      </c>
      <c r="L34" s="64">
        <v>22082.314000000002</v>
      </c>
      <c r="M34" s="64">
        <v>20935.054999999997</v>
      </c>
      <c r="N34" s="69"/>
      <c r="O34" s="70"/>
    </row>
    <row r="35" spans="1:15" ht="15" x14ac:dyDescent="0.2">
      <c r="A35" s="67" t="s">
        <v>36</v>
      </c>
      <c r="B35" s="61">
        <v>138.06799999999998</v>
      </c>
      <c r="C35" s="62">
        <v>273.51499999999999</v>
      </c>
      <c r="D35" s="62">
        <v>19.149999999999999</v>
      </c>
      <c r="E35" s="63">
        <v>64.655000000000001</v>
      </c>
      <c r="F35" s="63">
        <v>146.423</v>
      </c>
      <c r="G35" s="63">
        <v>273.22399999999999</v>
      </c>
      <c r="H35" s="63">
        <v>161.75699999999998</v>
      </c>
      <c r="I35" s="63">
        <v>124.24600000000001</v>
      </c>
      <c r="J35" s="63">
        <v>120.07700000000001</v>
      </c>
      <c r="K35" s="63">
        <v>131.208</v>
      </c>
      <c r="L35" s="64">
        <v>142.107</v>
      </c>
      <c r="M35" s="64">
        <v>309.11499999999995</v>
      </c>
      <c r="N35" s="69"/>
      <c r="O35" s="70"/>
    </row>
    <row r="36" spans="1:15" ht="15" x14ac:dyDescent="0.2">
      <c r="A36" s="67" t="s">
        <v>37</v>
      </c>
      <c r="B36" s="61">
        <v>3.0000000000000001E-3</v>
      </c>
      <c r="C36" s="62">
        <v>0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N36" s="69"/>
      <c r="O36" s="69"/>
    </row>
    <row r="37" spans="1:15" ht="15" x14ac:dyDescent="0.2">
      <c r="A37" s="67" t="s">
        <v>38</v>
      </c>
      <c r="B37" s="61">
        <v>97.96</v>
      </c>
      <c r="C37" s="62">
        <v>43.962000000000003</v>
      </c>
      <c r="D37" s="62">
        <v>0</v>
      </c>
      <c r="E37" s="63">
        <v>1.0999999999999999E-2</v>
      </c>
      <c r="F37" s="63">
        <v>2.1000000000000001E-2</v>
      </c>
      <c r="G37" s="63">
        <v>1.9E-2</v>
      </c>
      <c r="H37" s="63">
        <v>3.6999999999999998E-2</v>
      </c>
      <c r="I37" s="63">
        <v>0</v>
      </c>
      <c r="J37" s="63">
        <v>1.4999999999999999E-2</v>
      </c>
      <c r="K37" s="63">
        <v>0</v>
      </c>
      <c r="L37" s="64">
        <v>1E-3</v>
      </c>
      <c r="M37" s="64">
        <v>1E-3</v>
      </c>
      <c r="N37" s="69"/>
      <c r="O37" s="69"/>
    </row>
    <row r="38" spans="1:15" ht="15" x14ac:dyDescent="0.2">
      <c r="A38" s="67" t="s">
        <v>39</v>
      </c>
      <c r="B38" s="61">
        <v>10.284000000000001</v>
      </c>
      <c r="C38" s="62">
        <v>50.414000000000001</v>
      </c>
      <c r="D38" s="62">
        <v>36.086000000000006</v>
      </c>
      <c r="E38" s="63">
        <v>6.875</v>
      </c>
      <c r="F38" s="63">
        <v>39.305</v>
      </c>
      <c r="G38" s="63">
        <v>70.665000000000006</v>
      </c>
      <c r="H38" s="63">
        <v>23.421000000000003</v>
      </c>
      <c r="I38" s="63">
        <v>75.243999999999986</v>
      </c>
      <c r="J38" s="63">
        <v>74.864000000000004</v>
      </c>
      <c r="K38" s="63">
        <v>0.97200000000000031</v>
      </c>
      <c r="L38" s="64">
        <v>5.0659999999999998</v>
      </c>
      <c r="M38" s="64">
        <v>5.8289999999999997</v>
      </c>
      <c r="N38" s="69"/>
      <c r="O38" s="69"/>
    </row>
    <row r="39" spans="1:15" ht="15" x14ac:dyDescent="0.2">
      <c r="A39" s="67" t="s">
        <v>57</v>
      </c>
      <c r="B39" s="61">
        <v>262.62299999999999</v>
      </c>
      <c r="C39" s="62">
        <v>156.21599999999998</v>
      </c>
      <c r="D39" s="62">
        <v>4.4409999999999998</v>
      </c>
      <c r="E39" s="63">
        <v>5.1980000000000004</v>
      </c>
      <c r="F39" s="63">
        <v>1.8049999999999997</v>
      </c>
      <c r="G39" s="63">
        <v>0</v>
      </c>
      <c r="H39" s="63">
        <v>0</v>
      </c>
      <c r="I39" s="63">
        <v>0</v>
      </c>
      <c r="J39" s="63">
        <v>0</v>
      </c>
      <c r="K39" s="63">
        <v>7.0000000000000001E-3</v>
      </c>
      <c r="L39" s="64">
        <v>3.0000000000000001E-3</v>
      </c>
      <c r="M39" s="64">
        <v>0</v>
      </c>
      <c r="N39" s="69"/>
      <c r="O39" s="69"/>
    </row>
    <row r="40" spans="1:15" ht="15" x14ac:dyDescent="0.2">
      <c r="A40" s="67" t="s">
        <v>40</v>
      </c>
      <c r="B40" s="61">
        <v>4925.3550000000005</v>
      </c>
      <c r="C40" s="62">
        <v>4231.1399999999994</v>
      </c>
      <c r="D40" s="62">
        <v>3943.2400000000002</v>
      </c>
      <c r="E40" s="63">
        <v>5097.1839999999993</v>
      </c>
      <c r="F40" s="63">
        <v>5491.2370000000001</v>
      </c>
      <c r="G40" s="63">
        <v>5929.7330000000002</v>
      </c>
      <c r="H40" s="63">
        <v>5032.235999999999</v>
      </c>
      <c r="I40" s="63">
        <v>2367.299</v>
      </c>
      <c r="J40" s="63">
        <v>2569.741</v>
      </c>
      <c r="K40" s="63">
        <v>3641.92</v>
      </c>
      <c r="L40" s="64">
        <v>3941.1609999999996</v>
      </c>
      <c r="M40" s="64">
        <v>4651.4579999999996</v>
      </c>
      <c r="N40" s="69"/>
      <c r="O40" s="70"/>
    </row>
    <row r="41" spans="1:15" ht="15" x14ac:dyDescent="0.2">
      <c r="A41" s="67" t="s">
        <v>41</v>
      </c>
      <c r="B41" s="61">
        <v>190.64699999999996</v>
      </c>
      <c r="C41" s="62">
        <v>336.96300000000008</v>
      </c>
      <c r="D41" s="62">
        <v>396.09100000000001</v>
      </c>
      <c r="E41" s="63">
        <v>408.81400000000002</v>
      </c>
      <c r="F41" s="63">
        <v>399.22699999999998</v>
      </c>
      <c r="G41" s="63">
        <v>414.57400000000001</v>
      </c>
      <c r="H41" s="63">
        <v>354.22500000000002</v>
      </c>
      <c r="I41" s="63">
        <v>316.589</v>
      </c>
      <c r="J41" s="63">
        <v>307.51099999999997</v>
      </c>
      <c r="K41" s="63">
        <v>341.11200000000002</v>
      </c>
      <c r="L41" s="64">
        <v>310.36</v>
      </c>
      <c r="M41" s="64">
        <v>280.16399999999999</v>
      </c>
      <c r="N41" s="69"/>
      <c r="O41" s="69"/>
    </row>
    <row r="42" spans="1:15" ht="15" x14ac:dyDescent="0.2">
      <c r="A42" s="67" t="s">
        <v>42</v>
      </c>
      <c r="B42" s="61">
        <v>2073.8830000000003</v>
      </c>
      <c r="C42" s="62">
        <v>1917.2549999999997</v>
      </c>
      <c r="D42" s="62">
        <v>2491.1219999999998</v>
      </c>
      <c r="E42" s="63">
        <v>2471.4650000000001</v>
      </c>
      <c r="F42" s="63">
        <v>2482.5739999999996</v>
      </c>
      <c r="G42" s="63">
        <v>2629.5830000000001</v>
      </c>
      <c r="H42" s="63">
        <v>2372.59</v>
      </c>
      <c r="I42" s="63">
        <v>1907.655</v>
      </c>
      <c r="J42" s="63">
        <v>2191.232</v>
      </c>
      <c r="K42" s="63">
        <v>1715.5740000000001</v>
      </c>
      <c r="L42" s="64">
        <v>1822.5049999999999</v>
      </c>
      <c r="M42" s="64">
        <v>1869.1460000000002</v>
      </c>
      <c r="N42" s="69"/>
      <c r="O42" s="69"/>
    </row>
    <row r="43" spans="1:15" ht="15" x14ac:dyDescent="0.2">
      <c r="A43" s="67" t="s">
        <v>43</v>
      </c>
      <c r="B43" s="61">
        <v>180.18800000000002</v>
      </c>
      <c r="C43" s="62">
        <v>203.84299999999999</v>
      </c>
      <c r="D43" s="62">
        <v>257.37900000000002</v>
      </c>
      <c r="E43" s="63">
        <v>265.14699999999999</v>
      </c>
      <c r="F43" s="63">
        <v>255.05499999999998</v>
      </c>
      <c r="G43" s="63">
        <v>243.16300000000001</v>
      </c>
      <c r="H43" s="63">
        <v>201.55599999999998</v>
      </c>
      <c r="I43" s="63">
        <v>129.38900000000001</v>
      </c>
      <c r="J43" s="63">
        <v>143.95799999999997</v>
      </c>
      <c r="K43" s="63">
        <v>120.07800000000002</v>
      </c>
      <c r="L43" s="64">
        <v>122.27900000000001</v>
      </c>
      <c r="M43" s="64">
        <v>111.245</v>
      </c>
      <c r="N43" s="69"/>
      <c r="O43" s="69"/>
    </row>
    <row r="44" spans="1:15" ht="15" x14ac:dyDescent="0.2">
      <c r="A44" s="67" t="s">
        <v>44</v>
      </c>
      <c r="B44" s="61">
        <v>36.271000000000001</v>
      </c>
      <c r="C44" s="62">
        <v>55.038999999999994</v>
      </c>
      <c r="D44" s="62">
        <v>84.269000000000005</v>
      </c>
      <c r="E44" s="63">
        <v>94.957999999999984</v>
      </c>
      <c r="F44" s="63">
        <v>88.320999999999984</v>
      </c>
      <c r="G44" s="63">
        <v>89.766000000000005</v>
      </c>
      <c r="H44" s="63">
        <v>77.551000000000002</v>
      </c>
      <c r="I44" s="63">
        <v>72.461000000000013</v>
      </c>
      <c r="J44" s="63">
        <v>76.009999999999991</v>
      </c>
      <c r="K44" s="63">
        <v>78.824000000000012</v>
      </c>
      <c r="L44" s="64">
        <v>68.566999999999993</v>
      </c>
      <c r="M44" s="64">
        <v>69.851000000000013</v>
      </c>
      <c r="N44" s="69"/>
      <c r="O44" s="69"/>
    </row>
    <row r="45" spans="1:15" ht="15" x14ac:dyDescent="0.2">
      <c r="A45" s="67" t="s">
        <v>45</v>
      </c>
      <c r="B45" s="61">
        <v>3436.2899999999995</v>
      </c>
      <c r="C45" s="62">
        <v>3743.6349999999998</v>
      </c>
      <c r="D45" s="62">
        <v>3659.797</v>
      </c>
      <c r="E45" s="63">
        <v>3781.5</v>
      </c>
      <c r="F45" s="63">
        <v>3823.3130000000001</v>
      </c>
      <c r="G45" s="63">
        <v>3802.1469999999995</v>
      </c>
      <c r="H45" s="63">
        <v>3602.9690000000001</v>
      </c>
      <c r="I45" s="63">
        <v>3528.8910000000001</v>
      </c>
      <c r="J45" s="63">
        <v>2887.1469999999995</v>
      </c>
      <c r="K45" s="63">
        <v>3434.0340000000001</v>
      </c>
      <c r="L45" s="64">
        <v>3457.4449999999997</v>
      </c>
      <c r="M45" s="64">
        <v>3505.3779999999997</v>
      </c>
      <c r="N45" s="69"/>
      <c r="O45" s="69"/>
    </row>
    <row r="46" spans="1:15" ht="15" x14ac:dyDescent="0.2">
      <c r="A46" s="68" t="s">
        <v>52</v>
      </c>
      <c r="B46" s="64">
        <v>2470.631000000004</v>
      </c>
      <c r="C46" s="62">
        <v>2455.3649999999948</v>
      </c>
      <c r="D46" s="62">
        <v>2706.9480000000008</v>
      </c>
      <c r="E46" s="63">
        <v>2574.7999999999961</v>
      </c>
      <c r="F46" s="63">
        <v>2339.5239999999981</v>
      </c>
      <c r="G46" s="63">
        <v>2320.1039999999994</v>
      </c>
      <c r="H46" s="63">
        <v>2474.2789999999995</v>
      </c>
      <c r="I46" s="63">
        <v>3081.5889999999995</v>
      </c>
      <c r="J46" s="63">
        <v>2621.3369999999973</v>
      </c>
      <c r="K46" s="63">
        <v>1662.1669999999949</v>
      </c>
      <c r="L46" s="64">
        <v>1605.8290000000018</v>
      </c>
      <c r="M46" s="64">
        <v>2453.1839999999979</v>
      </c>
      <c r="N46" s="69"/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G2:AF46"/>
  <sheetViews>
    <sheetView showGridLines="0" topLeftCell="A6" zoomScale="85" zoomScaleNormal="85" workbookViewId="0">
      <selection activeCell="U9" sqref="U9"/>
    </sheetView>
  </sheetViews>
  <sheetFormatPr baseColWidth="10" defaultRowHeight="14.25" x14ac:dyDescent="0.2"/>
  <cols>
    <col min="1" max="1" width="1.5" customWidth="1"/>
    <col min="19" max="19" width="4.125" customWidth="1"/>
  </cols>
  <sheetData>
    <row r="2" spans="7:32" ht="15.75" x14ac:dyDescent="0.25">
      <c r="G2" s="71" t="str">
        <f>"MOVIMIENTO DE CRUDOS Y OBTENCIÓN DE PRODUCTOS PETROLÍFEROS - "&amp;'2025'!$AV$3</f>
        <v>MOVIMIENTO DE CRUDOS Y OBTENCIÓN DE PRODUCTOS PETROLÍFEROS - JUNIO 2025</v>
      </c>
    </row>
    <row r="14" spans="7:32" ht="15" x14ac:dyDescent="0.2">
      <c r="W14" s="54"/>
      <c r="X14" s="54"/>
      <c r="Y14" s="54"/>
      <c r="Z14" s="54"/>
      <c r="AA14" s="54"/>
      <c r="AB14" s="54"/>
      <c r="AC14" s="54"/>
      <c r="AD14" s="54"/>
      <c r="AE14" s="54"/>
      <c r="AF14" s="16"/>
    </row>
    <row r="15" spans="7:32" x14ac:dyDescent="0.2">
      <c r="W15" s="34"/>
      <c r="X15" s="47"/>
      <c r="Y15" s="21"/>
      <c r="Z15" s="21"/>
      <c r="AA15" s="21"/>
      <c r="AB15" s="21"/>
      <c r="AC15" s="21"/>
      <c r="AD15" s="21"/>
      <c r="AE15" s="21"/>
      <c r="AF15" s="21"/>
    </row>
    <row r="16" spans="7:32" x14ac:dyDescent="0.2">
      <c r="W16" s="34"/>
      <c r="X16" s="47"/>
      <c r="Y16" s="21"/>
      <c r="Z16" s="21"/>
      <c r="AA16" s="21"/>
      <c r="AB16" s="21"/>
      <c r="AC16" s="21"/>
      <c r="AD16" s="21"/>
      <c r="AE16" s="21"/>
      <c r="AF16" s="21"/>
    </row>
    <row r="17" spans="23:32" x14ac:dyDescent="0.2">
      <c r="W17" s="34"/>
      <c r="X17" s="47"/>
      <c r="Y17" s="21"/>
      <c r="Z17" s="21"/>
      <c r="AA17" s="21"/>
      <c r="AB17" s="21"/>
      <c r="AC17" s="21"/>
      <c r="AD17" s="21"/>
      <c r="AE17" s="21"/>
      <c r="AF17" s="21"/>
    </row>
    <row r="18" spans="23:32" x14ac:dyDescent="0.2">
      <c r="W18" s="34"/>
      <c r="X18" s="47"/>
      <c r="Y18" s="21"/>
      <c r="Z18" s="21"/>
      <c r="AA18" s="21"/>
      <c r="AB18" s="21"/>
      <c r="AC18" s="21"/>
      <c r="AD18" s="21"/>
      <c r="AE18" s="21"/>
      <c r="AF18" s="21"/>
    </row>
    <row r="19" spans="23:32" x14ac:dyDescent="0.2">
      <c r="W19" s="34"/>
      <c r="X19" s="47"/>
      <c r="Y19" s="21"/>
      <c r="Z19" s="21"/>
      <c r="AA19" s="21"/>
      <c r="AB19" s="21"/>
      <c r="AC19" s="21"/>
      <c r="AD19" s="21"/>
      <c r="AE19" s="21"/>
      <c r="AF19" s="21"/>
    </row>
    <row r="20" spans="23:32" x14ac:dyDescent="0.2">
      <c r="W20" s="34"/>
      <c r="X20" s="47"/>
      <c r="Y20" s="21"/>
      <c r="Z20" s="21"/>
      <c r="AA20" s="21"/>
      <c r="AB20" s="21"/>
      <c r="AC20" s="21"/>
      <c r="AD20" s="21"/>
      <c r="AE20" s="21"/>
      <c r="AF20" s="21"/>
    </row>
    <row r="21" spans="23:32" ht="15" x14ac:dyDescent="0.2">
      <c r="W21" s="55"/>
      <c r="X21" s="47"/>
      <c r="Y21" s="21"/>
      <c r="Z21" s="21"/>
      <c r="AA21" s="21"/>
      <c r="AB21" s="21"/>
      <c r="AC21" s="21"/>
      <c r="AD21" s="21"/>
      <c r="AE21" s="21"/>
      <c r="AF21" s="21"/>
    </row>
    <row r="22" spans="23:32" ht="15" x14ac:dyDescent="0.2">
      <c r="W22" s="34"/>
      <c r="X22" s="47"/>
      <c r="Y22" s="56"/>
      <c r="Z22" s="56"/>
      <c r="AA22" s="56"/>
      <c r="AB22" s="56"/>
      <c r="AC22" s="56"/>
      <c r="AD22" s="56"/>
      <c r="AE22" s="56"/>
      <c r="AF22" s="31"/>
    </row>
    <row r="23" spans="23:32" x14ac:dyDescent="0.2">
      <c r="W23" s="34"/>
      <c r="X23" s="47"/>
      <c r="Y23" s="21"/>
      <c r="Z23" s="21"/>
      <c r="AA23" s="21"/>
      <c r="AB23" s="21"/>
      <c r="AC23" s="21"/>
      <c r="AD23" s="21"/>
      <c r="AE23" s="21"/>
      <c r="AF23" s="21"/>
    </row>
    <row r="24" spans="23:32" x14ac:dyDescent="0.2">
      <c r="W24" s="34"/>
      <c r="X24" s="47"/>
      <c r="Y24" s="42"/>
      <c r="Z24" s="42"/>
      <c r="AA24" s="42"/>
      <c r="AB24" s="42"/>
      <c r="AC24" s="42"/>
      <c r="AD24" s="42"/>
      <c r="AE24" s="42"/>
      <c r="AF24" s="21"/>
    </row>
    <row r="25" spans="23:32" x14ac:dyDescent="0.2">
      <c r="W25" s="21"/>
      <c r="X25" s="42"/>
      <c r="Y25" s="42"/>
      <c r="Z25" s="42"/>
      <c r="AA25" s="42"/>
      <c r="AB25" s="42"/>
      <c r="AC25" s="42"/>
      <c r="AD25" s="42"/>
      <c r="AE25" s="42"/>
      <c r="AF25" s="32"/>
    </row>
    <row r="27" spans="23:32" x14ac:dyDescent="0.2">
      <c r="X27" s="38"/>
      <c r="Y27" s="38"/>
      <c r="Z27" s="38"/>
      <c r="AA27" s="38"/>
      <c r="AB27" s="38"/>
      <c r="AC27" s="38"/>
      <c r="AD27" s="38"/>
      <c r="AE27" s="38"/>
    </row>
    <row r="46" ht="12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Evolución_Anual</vt:lpstr>
      <vt:lpstr>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'2025'!Área_de_impresión</vt:lpstr>
      <vt:lpstr>Carátula!Área_de_impresión</vt:lpstr>
      <vt:lpstr>Evolución_Anual!Área_de_impresión</vt:lpstr>
      <vt:lpstr>Impresión!Área_de_impresión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2025-08-28T15:13:12Z</dcterms:modified>
</cp:coreProperties>
</file>