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71" windowWidth="11940" windowHeight="5805" tabRatio="785" firstSheet="3" activeTab="7"/>
  </bookViews>
  <sheets>
    <sheet name="31PP" sheetId="1" r:id="rId1"/>
    <sheet name="32PMC" sheetId="2" r:id="rId2"/>
    <sheet name="33PAC" sheetId="3" r:id="rId3"/>
    <sheet name="34PG" sheetId="4" r:id="rId4"/>
    <sheet name="35PMG" sheetId="5" r:id="rId5"/>
    <sheet name="36SPPG" sheetId="6" r:id="rId6"/>
    <sheet name="37SPPGI" sheetId="7" r:id="rId7"/>
    <sheet name="38ASG" sheetId="8" r:id="rId8"/>
    <sheet name="39PAP" sheetId="9" r:id="rId9"/>
    <sheet name="310PAG" sheetId="10" r:id="rId10"/>
    <sheet name="311PAGyP" sheetId="11" r:id="rId11"/>
    <sheet name="312CP" sheetId="12" r:id="rId12"/>
    <sheet name="gas-serrablo" sheetId="13" r:id="rId13"/>
    <sheet name="Hoja13" sheetId="14" r:id="rId14"/>
    <sheet name="Hoja14" sheetId="15" r:id="rId15"/>
    <sheet name="Hoja15" sheetId="16" r:id="rId16"/>
    <sheet name="Hoja16" sheetId="17" r:id="rId17"/>
  </sheets>
  <definedNames/>
  <calcPr fullCalcOnLoad="1"/>
</workbook>
</file>

<file path=xl/sharedStrings.xml><?xml version="1.0" encoding="utf-8"?>
<sst xmlns="http://schemas.openxmlformats.org/spreadsheetml/2006/main" count="1088" uniqueCount="194">
  <si>
    <t>CUMULATED PRODUCTION</t>
  </si>
  <si>
    <t>CONCESIONES/</t>
  </si>
  <si>
    <t>OPERADOR/</t>
  </si>
  <si>
    <t>CONCESSIONS</t>
  </si>
  <si>
    <t>OPERATOR</t>
  </si>
  <si>
    <t>LORA</t>
  </si>
  <si>
    <t>RIPSA</t>
  </si>
  <si>
    <t>UNITIZACION</t>
  </si>
  <si>
    <t>CASABLANCA-</t>
  </si>
  <si>
    <t>MONTANAZO D</t>
  </si>
  <si>
    <t>ALBATROS</t>
  </si>
  <si>
    <t>RODABALLO</t>
  </si>
  <si>
    <t>ANGULA-</t>
  </si>
  <si>
    <t>CASABLANCA</t>
  </si>
  <si>
    <t>TOTAL</t>
  </si>
  <si>
    <t>-</t>
  </si>
  <si>
    <t>CASABLANCA-MONTANAZO D</t>
  </si>
  <si>
    <t>ANGULA-CASABLANCA</t>
  </si>
  <si>
    <t>MES/MONTH</t>
  </si>
  <si>
    <t>ENERO/JANUARY</t>
  </si>
  <si>
    <t>FEBRERO/FEBRUARY</t>
  </si>
  <si>
    <t>MARZO/MARCH</t>
  </si>
  <si>
    <t>ABRIL/APRIL</t>
  </si>
  <si>
    <t>MAYO/MAY</t>
  </si>
  <si>
    <t>JUNIO/JUNE</t>
  </si>
  <si>
    <t>JULIO/JULY</t>
  </si>
  <si>
    <t>AGOSTO/AUGUST</t>
  </si>
  <si>
    <t>SEPTIEMBRE/SEPTEMBER</t>
  </si>
  <si>
    <t>OCTUBRE/OCTOBER</t>
  </si>
  <si>
    <t>NOVIEMBRE/NOVEMBER</t>
  </si>
  <si>
    <t>DICIEMBRE/DECEMBER</t>
  </si>
  <si>
    <t>%</t>
  </si>
  <si>
    <t>OPERATORS</t>
  </si>
  <si>
    <t>MARISMAS</t>
  </si>
  <si>
    <r>
      <t>Nm</t>
    </r>
    <r>
      <rPr>
        <b/>
        <vertAlign val="superscript"/>
        <sz val="10"/>
        <color indexed="8"/>
        <rFont val="Arial"/>
        <family val="0"/>
      </rPr>
      <t>3</t>
    </r>
  </si>
  <si>
    <t>3.6</t>
  </si>
  <si>
    <t>TOTAL OIL AND GAS PRODUCTION IN ACTIVE FIELDS</t>
  </si>
  <si>
    <t>UNITIZACION CASABLANCA-MONTANAZO D</t>
  </si>
  <si>
    <t>ALBATROS (*)</t>
  </si>
  <si>
    <t>UNITIZACION ANGULA-CASABLANCA</t>
  </si>
  <si>
    <t>TOTAL (1)</t>
  </si>
  <si>
    <t>3.7</t>
  </si>
  <si>
    <t xml:space="preserve">TOTAL OIL AND GAS PRODUCTION IN INACTIVE FIELDS. </t>
  </si>
  <si>
    <t>CASTILLO (*)</t>
  </si>
  <si>
    <t>SAN CARLOS I y II</t>
  </si>
  <si>
    <t>TARRACO</t>
  </si>
  <si>
    <t>DORADA</t>
  </si>
  <si>
    <t>SERRABLO (*)</t>
  </si>
  <si>
    <t>SALMONETE</t>
  </si>
  <si>
    <t>GAVIOTA I y II (*)</t>
  </si>
  <si>
    <t>GAVIOTA I y II</t>
  </si>
  <si>
    <t>(*)</t>
  </si>
  <si>
    <t>3.8</t>
  </si>
  <si>
    <t>SERRABLO</t>
  </si>
  <si>
    <t>ACUMULADO/CUMULATED</t>
  </si>
  <si>
    <t>INYECCION/</t>
  </si>
  <si>
    <t>EMISION/</t>
  </si>
  <si>
    <t>INJECTION</t>
  </si>
  <si>
    <t>GAVIOTA</t>
  </si>
  <si>
    <t>3.9</t>
  </si>
  <si>
    <t>ANO/</t>
  </si>
  <si>
    <t>YEAR</t>
  </si>
  <si>
    <t>AMPOSTA</t>
  </si>
  <si>
    <t>ANGULA</t>
  </si>
  <si>
    <t>I y II</t>
  </si>
  <si>
    <t>3.10</t>
  </si>
  <si>
    <r>
      <t xml:space="preserve">    Miles de Nm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/ Thousand Nm</t>
    </r>
    <r>
      <rPr>
        <b/>
        <vertAlign val="superscript"/>
        <sz val="10"/>
        <color indexed="8"/>
        <rFont val="Arial"/>
        <family val="2"/>
      </rPr>
      <t>3</t>
    </r>
  </si>
  <si>
    <t>CASTILLO</t>
  </si>
  <si>
    <t>3.11</t>
  </si>
  <si>
    <t>GAS/GAS</t>
  </si>
  <si>
    <t>3.12</t>
  </si>
  <si>
    <t/>
  </si>
  <si>
    <t>CAMPO / FIELD</t>
  </si>
  <si>
    <t>%INC</t>
  </si>
  <si>
    <t>CRUDO / OIL</t>
  </si>
  <si>
    <t>AYOLUENGO</t>
  </si>
  <si>
    <t>SUBTOTAL</t>
  </si>
  <si>
    <t>GAS / GAS</t>
  </si>
  <si>
    <t>MARISMAS (t.e.p.)</t>
  </si>
  <si>
    <t>Braket numbers show decreasing percentages.</t>
  </si>
  <si>
    <r>
      <t xml:space="preserve">ALMACENAMIENTO SUBTERRANEO DE GAS </t>
    </r>
    <r>
      <rPr>
        <b/>
        <u val="single"/>
        <sz val="16"/>
        <color indexed="8"/>
        <rFont val="Arial"/>
        <family val="2"/>
      </rPr>
      <t>"SERRABLO"</t>
    </r>
  </si>
  <si>
    <t>TOTAL GAS INYECTADO HASTA 31.12.1996 ........................</t>
  </si>
  <si>
    <r>
      <t>Nm</t>
    </r>
    <r>
      <rPr>
        <vertAlign val="superscript"/>
        <sz val="10"/>
        <rFont val="Arial"/>
        <family val="2"/>
      </rPr>
      <t>3</t>
    </r>
  </si>
  <si>
    <t>TOTAL GAS EMITIDO HASTA 31.12.1996 .............................</t>
  </si>
  <si>
    <t>año 1997</t>
  </si>
  <si>
    <t>MESES</t>
  </si>
  <si>
    <t>NOTA.:</t>
  </si>
  <si>
    <r>
      <t>Cumplimentar los espacios sombreados. Todos los datos en "normales metros cubicos"  Nm</t>
    </r>
    <r>
      <rPr>
        <b/>
        <vertAlign val="superscript"/>
        <sz val="9"/>
        <rFont val="Arial"/>
        <family val="2"/>
      </rPr>
      <t>3</t>
    </r>
  </si>
  <si>
    <r>
      <t>Nm</t>
    </r>
    <r>
      <rPr>
        <b/>
        <vertAlign val="superscript"/>
        <sz val="10"/>
        <rFont val="Arial"/>
        <family val="2"/>
      </rPr>
      <t>3</t>
    </r>
  </si>
  <si>
    <t>EL RUEDO</t>
  </si>
  <si>
    <t>LAS BARRERAS</t>
  </si>
  <si>
    <t>NUELGAS</t>
  </si>
  <si>
    <t>LAS BARRERAS (*)</t>
  </si>
  <si>
    <t>LAS</t>
  </si>
  <si>
    <t>BARRERAS</t>
  </si>
  <si>
    <t>EL RUEDO (t.e.p.)</t>
  </si>
  <si>
    <t>LAS BARRERAS (t.e.p.)</t>
  </si>
  <si>
    <t>% (*)</t>
  </si>
  <si>
    <t>LORA              (1)</t>
  </si>
  <si>
    <t>RODABALLO   (3)</t>
  </si>
  <si>
    <t>(1)</t>
  </si>
  <si>
    <t>(2)</t>
  </si>
  <si>
    <t>(3)</t>
  </si>
  <si>
    <t>(4)</t>
  </si>
  <si>
    <t>Notas:</t>
  </si>
  <si>
    <t>LAS BARRERAS  (4)</t>
  </si>
  <si>
    <t>MARISMAS          (1)</t>
  </si>
  <si>
    <t>Los datos reflejados en las concesiones referenciadas incluyen las producciones de las</t>
  </si>
  <si>
    <t>siguientes estructuras o campos de producción:</t>
  </si>
  <si>
    <t>Ayoluengo.</t>
  </si>
  <si>
    <t>Boquerón.</t>
  </si>
  <si>
    <t>Los datos reflejados en las concesiones referenciadas incluyen las siguientes producciones:</t>
  </si>
  <si>
    <t>MARISMAS B núm.1, MARISMAS C núm. 1, MARISMAS C núm. 2, REBUJENA y MARISMAS A.</t>
  </si>
  <si>
    <t>LAS BARRERAS.</t>
  </si>
  <si>
    <t>EL RUEDO-1, EL RUEDO-2 y EL RUEDO-3.</t>
  </si>
  <si>
    <t>Las cantidades entre paréntesis significan disminución porcentual. /</t>
  </si>
  <si>
    <t>Rodaballo y Chipirón.</t>
  </si>
  <si>
    <t>NORTHERN</t>
  </si>
  <si>
    <t>datos para el grafico</t>
  </si>
  <si>
    <t>Casablanca y Barracuda.</t>
  </si>
  <si>
    <t>EL RUEDO           (3)</t>
  </si>
  <si>
    <t>UNDERGROUND GAS STORAGE</t>
  </si>
  <si>
    <t>EMISSION</t>
  </si>
  <si>
    <t>ALMACENAMIENTOS SUBTERRÁNEOS DE GAS /</t>
  </si>
  <si>
    <t>INYECCIÓN/</t>
  </si>
  <si>
    <t>EMISIÓN/</t>
  </si>
  <si>
    <t>3.1  PRODUCCIÓN DE PETRÓLEO / OIL PRODUCTION</t>
  </si>
  <si>
    <t>PRODUCCIÓN ACUMULADA/</t>
  </si>
  <si>
    <t>PRODUCCIÓN/PRODUCTION</t>
  </si>
  <si>
    <t xml:space="preserve">3.2  PRODUCCIÓN MENSUAL DE CRUDO / MONTHLY OIL PRODUCTION </t>
  </si>
  <si>
    <t xml:space="preserve">3.3  PRODUCCIÓN ACUMULADA DE CRUDO / CUMULATED OIL PRODUCTION </t>
  </si>
  <si>
    <t>3.4  PRODUCCIÓN DE GAS / GAS PRODUCTION</t>
  </si>
  <si>
    <t>PRODUCCIÓN ACUMULADA/CUMULATED PRODUCTION</t>
  </si>
  <si>
    <t>POSEIDÓN          (2)</t>
  </si>
  <si>
    <t>POSEIDÓN NORTE y POSEIDÓN SUR.</t>
  </si>
  <si>
    <t>3.5  PRODUCCIÓN MENSUAL DE GAS / MONTHLY GAS PRODUCTION</t>
  </si>
  <si>
    <t>POSEIDÓN</t>
  </si>
  <si>
    <t>PRODUCCIÓN ACUMULADA / CUMULATED PRODUCTION</t>
  </si>
  <si>
    <t>SUMA DE PRODUCCIONES DE PETRÓLEO Y GAS NATURAL CAMPOS ACTIVOS /</t>
  </si>
  <si>
    <t>PRODUCCIÓN ACUMULADA /</t>
  </si>
  <si>
    <t>PRODUCCIÓN / PRODUCTION</t>
  </si>
  <si>
    <t>(1) PETRÓLEO + GAS NATURAL. / OIL + NATURAL GAS.</t>
  </si>
  <si>
    <t>PRODUCCIONES DE PETRÓLEO Y GAS NATURAL EN CAMPOS INACTIVOS /</t>
  </si>
  <si>
    <t>PETRÓLEO + GAS NATURAL. / OIL + NATURAL GAS.</t>
  </si>
  <si>
    <t>PRODUCCIÓN ANUAL DE HIDROCARBUROS POR CAMPOS DE PETRÓLEO / ANNUAL FIELDS OIL PRODUCTION</t>
  </si>
  <si>
    <t>PRODUCCIÓN ANUAL DE HIDROCARBUROS POR CAMPOS DE GAS / ANNUAL FIELDS GAS PRODUCTION</t>
  </si>
  <si>
    <t>PRODUCCIÓN ANUAL DE GAS Y PETRÓLEO / ANNUAL GAS AND OIL PRODUCTION</t>
  </si>
  <si>
    <t>PETRÓLEO/OIL</t>
  </si>
  <si>
    <t>POSEIDÓN (t.e.p.)</t>
  </si>
  <si>
    <t>EL ROMERAL      (5)</t>
  </si>
  <si>
    <t>(5)</t>
  </si>
  <si>
    <t>EL ROMERAL 1, EL ROMERAL 2 y EL ROMERAL 3.</t>
  </si>
  <si>
    <r>
      <t>Nm</t>
    </r>
    <r>
      <rPr>
        <b/>
        <vertAlign val="superscript"/>
        <sz val="9"/>
        <rFont val="Arial"/>
        <family val="2"/>
      </rPr>
      <t>3</t>
    </r>
  </si>
  <si>
    <t>EL ROMERAL</t>
  </si>
  <si>
    <t>MARISMAS         (*)</t>
  </si>
  <si>
    <t>POSEIDÓN         (*)</t>
  </si>
  <si>
    <t>EL RUEDO         (*)</t>
  </si>
  <si>
    <t>EL ROMERAL     (*)</t>
  </si>
  <si>
    <t>EL</t>
  </si>
  <si>
    <t>ROMERAL</t>
  </si>
  <si>
    <t>EL ROMERAL (t.e.p.)</t>
  </si>
  <si>
    <t>bbl/día</t>
  </si>
  <si>
    <t>media diaria en lo que va de año:</t>
  </si>
  <si>
    <t>solo Casablanca</t>
  </si>
  <si>
    <t>solo Rodaballo</t>
  </si>
  <si>
    <t>solo Barracuda</t>
  </si>
  <si>
    <t>esto es Chipirón</t>
  </si>
  <si>
    <t>nosotros - Marismas A</t>
  </si>
  <si>
    <t>suma cía</t>
  </si>
  <si>
    <t>difer. con nosotros</t>
  </si>
  <si>
    <t>a 31/12/2003</t>
  </si>
  <si>
    <t>Tm</t>
  </si>
  <si>
    <t>PETROLEUM</t>
  </si>
  <si>
    <t>Tm / Tep</t>
  </si>
  <si>
    <t>Miles de Tm / Thousand Tm</t>
  </si>
  <si>
    <t>(Miles de Tm/Thousand Tm)</t>
  </si>
  <si>
    <t>(Miles de Tep/Thousand OET)</t>
  </si>
  <si>
    <t>COMPARACIÓN DE LAS PRODUCCIONES DE 2003 y 2004 /</t>
  </si>
  <si>
    <t>2003 - 2004 COMPARATIVE PRODUCTION</t>
  </si>
  <si>
    <t>TOTAL (Tm)</t>
  </si>
  <si>
    <t>UNITIZACIÓN CASABLANCA-MONTANAZO D</t>
  </si>
  <si>
    <t>UNITIZACIÓN ANGULA-CASABLANCA</t>
  </si>
  <si>
    <t>(*) EL GAS NATURAL EXPRESADO EN T.E.P. / NATURAL GAS IN OET (OIL EQUIVALENT TONNES).</t>
  </si>
  <si>
    <t>UNITIZACIÓN   (2)</t>
  </si>
  <si>
    <t>UNITIZACIÓN   (4)</t>
  </si>
  <si>
    <t>Bbl</t>
  </si>
  <si>
    <t>Calculados respecto a las cantidades en toneladas. / Calculations-based on column (Tm).</t>
  </si>
  <si>
    <t>UNITIZACIÓN</t>
  </si>
  <si>
    <t>(*) Calculados respecto a las cantidades en Tep (toneladas equivalentes de petróleo). / Calculations based on column in OET (oil equivalent tonnes).</t>
  </si>
  <si>
    <t>Th</t>
  </si>
  <si>
    <t>TEP/OET</t>
  </si>
  <si>
    <t>EL GAS NATURAL EXPRESADO EN TEP / NATURAL GAS IN OET (OIL EQUIVALENT TONNES)</t>
  </si>
  <si>
    <t>Miles Tep</t>
  </si>
  <si>
    <t>????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</si>
</sst>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#,##0.0"/>
    <numFmt numFmtId="183" formatCode="#,##0.00_);\(#,##0.00\)"/>
    <numFmt numFmtId="184" formatCode="0.0%"/>
    <numFmt numFmtId="185" formatCode="General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mmmmm"/>
    <numFmt numFmtId="192" formatCode="mmm"/>
    <numFmt numFmtId="193" formatCode="yy"/>
    <numFmt numFmtId="194" formatCode="yyyy"/>
    <numFmt numFmtId="195" formatCode="mmmm\-yy"/>
    <numFmt numFmtId="196" formatCode="#,##0.000_);\(#,##0.000\)"/>
    <numFmt numFmtId="197" formatCode="#,##0.0000_);\(#,##0.0000\)"/>
    <numFmt numFmtId="198" formatCode="#,##0.00000_);\(#,##0.00000\)"/>
    <numFmt numFmtId="199" formatCode="#,##0.000000_);\(#,##0.000000\)"/>
    <numFmt numFmtId="200" formatCode="#,##0.000"/>
    <numFmt numFmtId="201" formatCode="#,##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Arial"/>
      <family val="0"/>
    </font>
    <font>
      <b/>
      <sz val="12"/>
      <name val="Arial"/>
      <family val="2"/>
    </font>
    <font>
      <b/>
      <u val="single"/>
      <sz val="14"/>
      <color indexed="8"/>
      <name val="Arial"/>
      <family val="0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5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u val="single"/>
      <sz val="16.5"/>
      <color indexed="16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4"/>
      <color indexed="63"/>
      <name val="Arial"/>
      <family val="2"/>
    </font>
    <font>
      <sz val="11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9"/>
      <name val="Arial"/>
      <family val="0"/>
    </font>
    <font>
      <sz val="4.75"/>
      <name val="Arial"/>
      <family val="0"/>
    </font>
    <font>
      <sz val="11.5"/>
      <name val="Arial"/>
      <family val="0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horizontal="centerContinuous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 applyProtection="1">
      <alignment horizontal="centerContinuous"/>
      <protection/>
    </xf>
    <xf numFmtId="3" fontId="5" fillId="0" borderId="13" xfId="0" applyNumberFormat="1" applyFont="1" applyFill="1" applyBorder="1" applyAlignment="1">
      <alignment horizontal="centerContinuous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Continuous"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5" fillId="0" borderId="27" xfId="0" applyNumberFormat="1" applyFont="1" applyFill="1" applyBorder="1" applyAlignment="1" applyProtection="1">
      <alignment horizontal="center"/>
      <protection/>
    </xf>
    <xf numFmtId="3" fontId="5" fillId="0" borderId="28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29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 applyProtection="1">
      <alignment horizontal="center"/>
      <protection/>
    </xf>
    <xf numFmtId="3" fontId="5" fillId="0" borderId="31" xfId="0" applyNumberFormat="1" applyFont="1" applyFill="1" applyBorder="1" applyAlignment="1">
      <alignment/>
    </xf>
    <xf numFmtId="3" fontId="6" fillId="0" borderId="3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6" fillId="0" borderId="3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 applyProtection="1">
      <alignment horizontal="center"/>
      <protection/>
    </xf>
    <xf numFmtId="3" fontId="5" fillId="0" borderId="3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31" xfId="0" applyNumberFormat="1" applyFont="1" applyFill="1" applyBorder="1" applyAlignment="1" applyProtection="1">
      <alignment horizontal="center"/>
      <protection/>
    </xf>
    <xf numFmtId="3" fontId="6" fillId="2" borderId="8" xfId="0" applyNumberFormat="1" applyFont="1" applyFill="1" applyBorder="1" applyAlignment="1" applyProtection="1">
      <alignment/>
      <protection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6" fillId="0" borderId="41" xfId="0" applyNumberFormat="1" applyFont="1" applyFill="1" applyBorder="1" applyAlignment="1" applyProtection="1">
      <alignment/>
      <protection/>
    </xf>
    <xf numFmtId="3" fontId="6" fillId="0" borderId="42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5" fillId="0" borderId="43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44" xfId="0" applyNumberFormat="1" applyFont="1" applyFill="1" applyBorder="1" applyAlignment="1" applyProtection="1">
      <alignment horizontal="center"/>
      <protection/>
    </xf>
    <xf numFmtId="3" fontId="5" fillId="0" borderId="45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 applyProtection="1">
      <alignment horizontal="left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 horizontal="centerContinuous"/>
      <protection/>
    </xf>
    <xf numFmtId="182" fontId="1" fillId="0" borderId="0" xfId="0" applyNumberFormat="1" applyFont="1" applyBorder="1" applyAlignment="1">
      <alignment horizontal="centerContinuous"/>
    </xf>
    <xf numFmtId="182" fontId="0" fillId="0" borderId="41" xfId="0" applyNumberFormat="1" applyFont="1" applyBorder="1" applyAlignment="1">
      <alignment/>
    </xf>
    <xf numFmtId="4" fontId="0" fillId="0" borderId="41" xfId="0" applyNumberFormat="1" applyFont="1" applyBorder="1" applyAlignment="1" applyProtection="1">
      <alignment/>
      <protection/>
    </xf>
    <xf numFmtId="183" fontId="6" fillId="0" borderId="38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 horizontal="center"/>
      <protection/>
    </xf>
    <xf numFmtId="181" fontId="6" fillId="0" borderId="46" xfId="0" applyNumberFormat="1" applyFont="1" applyFill="1" applyBorder="1" applyAlignment="1">
      <alignment/>
    </xf>
    <xf numFmtId="182" fontId="0" fillId="0" borderId="41" xfId="0" applyNumberFormat="1" applyFont="1" applyBorder="1" applyAlignment="1" applyProtection="1">
      <alignment/>
      <protection/>
    </xf>
    <xf numFmtId="182" fontId="6" fillId="0" borderId="41" xfId="0" applyNumberFormat="1" applyFont="1" applyFill="1" applyBorder="1" applyAlignment="1">
      <alignment/>
    </xf>
    <xf numFmtId="182" fontId="5" fillId="0" borderId="45" xfId="0" applyNumberFormat="1" applyFont="1" applyFill="1" applyBorder="1" applyAlignment="1" applyProtection="1">
      <alignment/>
      <protection/>
    </xf>
    <xf numFmtId="182" fontId="1" fillId="0" borderId="45" xfId="0" applyNumberFormat="1" applyFont="1" applyBorder="1" applyAlignment="1" applyProtection="1">
      <alignment horizontal="center"/>
      <protection/>
    </xf>
    <xf numFmtId="182" fontId="6" fillId="0" borderId="29" xfId="0" applyNumberFormat="1" applyFont="1" applyFill="1" applyBorder="1" applyAlignment="1">
      <alignment/>
    </xf>
    <xf numFmtId="182" fontId="6" fillId="0" borderId="30" xfId="0" applyNumberFormat="1" applyFont="1" applyFill="1" applyBorder="1" applyAlignment="1">
      <alignment/>
    </xf>
    <xf numFmtId="182" fontId="6" fillId="0" borderId="32" xfId="0" applyNumberFormat="1" applyFont="1" applyFill="1" applyBorder="1" applyAlignment="1">
      <alignment/>
    </xf>
    <xf numFmtId="182" fontId="5" fillId="0" borderId="31" xfId="0" applyNumberFormat="1" applyFont="1" applyFill="1" applyBorder="1" applyAlignment="1">
      <alignment/>
    </xf>
    <xf numFmtId="182" fontId="1" fillId="0" borderId="38" xfId="0" applyNumberFormat="1" applyFont="1" applyBorder="1" applyAlignment="1">
      <alignment/>
    </xf>
    <xf numFmtId="182" fontId="5" fillId="0" borderId="31" xfId="0" applyNumberFormat="1" applyFont="1" applyFill="1" applyBorder="1" applyAlignment="1" applyProtection="1">
      <alignment/>
      <protection/>
    </xf>
    <xf numFmtId="182" fontId="1" fillId="0" borderId="38" xfId="0" applyNumberFormat="1" applyFont="1" applyBorder="1" applyAlignment="1" applyProtection="1">
      <alignment horizontal="center"/>
      <protection/>
    </xf>
    <xf numFmtId="182" fontId="5" fillId="0" borderId="47" xfId="0" applyNumberFormat="1" applyFont="1" applyFill="1" applyBorder="1" applyAlignment="1" applyProtection="1">
      <alignment/>
      <protection/>
    </xf>
    <xf numFmtId="182" fontId="1" fillId="0" borderId="48" xfId="0" applyNumberFormat="1" applyFont="1" applyBorder="1" applyAlignment="1" applyProtection="1">
      <alignment horizontal="center"/>
      <protection/>
    </xf>
    <xf numFmtId="182" fontId="6" fillId="0" borderId="31" xfId="0" applyNumberFormat="1" applyFont="1" applyFill="1" applyBorder="1" applyAlignment="1" applyProtection="1">
      <alignment/>
      <protection/>
    </xf>
    <xf numFmtId="182" fontId="0" fillId="0" borderId="38" xfId="0" applyNumberFormat="1" applyFont="1" applyBorder="1" applyAlignment="1" applyProtection="1">
      <alignment horizontal="center"/>
      <protection/>
    </xf>
    <xf numFmtId="182" fontId="6" fillId="0" borderId="31" xfId="0" applyNumberFormat="1" applyFont="1" applyFill="1" applyBorder="1" applyAlignment="1">
      <alignment/>
    </xf>
    <xf numFmtId="182" fontId="0" fillId="0" borderId="38" xfId="0" applyNumberFormat="1" applyFont="1" applyBorder="1" applyAlignment="1">
      <alignment/>
    </xf>
    <xf numFmtId="182" fontId="6" fillId="0" borderId="38" xfId="0" applyNumberFormat="1" applyFont="1" applyFill="1" applyBorder="1" applyAlignment="1">
      <alignment/>
    </xf>
    <xf numFmtId="182" fontId="6" fillId="0" borderId="46" xfId="0" applyNumberFormat="1" applyFont="1" applyFill="1" applyBorder="1" applyAlignment="1">
      <alignment/>
    </xf>
    <xf numFmtId="182" fontId="6" fillId="0" borderId="39" xfId="0" applyNumberFormat="1" applyFont="1" applyFill="1" applyBorder="1" applyAlignment="1">
      <alignment/>
    </xf>
    <xf numFmtId="182" fontId="0" fillId="0" borderId="39" xfId="0" applyNumberFormat="1" applyFont="1" applyBorder="1" applyAlignment="1">
      <alignment/>
    </xf>
    <xf numFmtId="182" fontId="0" fillId="0" borderId="40" xfId="0" applyNumberFormat="1" applyFont="1" applyBorder="1" applyAlignment="1">
      <alignment/>
    </xf>
    <xf numFmtId="182" fontId="1" fillId="0" borderId="45" xfId="0" applyNumberFormat="1" applyFont="1" applyBorder="1" applyAlignment="1" applyProtection="1">
      <alignment horizontal="centerContinuous"/>
      <protection/>
    </xf>
    <xf numFmtId="183" fontId="0" fillId="0" borderId="38" xfId="0" applyNumberFormat="1" applyFont="1" applyBorder="1" applyAlignment="1" applyProtection="1">
      <alignment/>
      <protection/>
    </xf>
    <xf numFmtId="182" fontId="1" fillId="0" borderId="45" xfId="0" applyNumberFormat="1" applyFont="1" applyBorder="1" applyAlignment="1">
      <alignment horizontal="centerContinuous"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Fill="1" applyBorder="1" applyAlignment="1">
      <alignment/>
    </xf>
    <xf numFmtId="10" fontId="0" fillId="0" borderId="0" xfId="21" applyNumberFormat="1" applyFont="1" applyBorder="1" applyAlignment="1" applyProtection="1">
      <alignment/>
      <protection/>
    </xf>
    <xf numFmtId="10" fontId="6" fillId="0" borderId="0" xfId="21" applyNumberFormat="1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6" fillId="0" borderId="31" xfId="0" applyFont="1" applyFill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 horizontal="center"/>
      <protection/>
    </xf>
    <xf numFmtId="183" fontId="0" fillId="0" borderId="38" xfId="0" applyNumberFormat="1" applyFont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9" xfId="0" applyNumberFormat="1" applyFont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8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1" fillId="0" borderId="45" xfId="0" applyNumberFormat="1" applyFont="1" applyBorder="1" applyAlignment="1" applyProtection="1">
      <alignment horizontal="centerContinuous"/>
      <protection/>
    </xf>
    <xf numFmtId="3" fontId="5" fillId="0" borderId="45" xfId="0" applyNumberFormat="1" applyFont="1" applyFill="1" applyBorder="1" applyAlignment="1">
      <alignment horizontal="centerContinuous"/>
    </xf>
    <xf numFmtId="3" fontId="1" fillId="0" borderId="38" xfId="0" applyNumberFormat="1" applyFont="1" applyBorder="1" applyAlignment="1" applyProtection="1">
      <alignment horizontal="center"/>
      <protection/>
    </xf>
    <xf numFmtId="0" fontId="1" fillId="0" borderId="45" xfId="0" applyFont="1" applyBorder="1" applyAlignment="1">
      <alignment/>
    </xf>
    <xf numFmtId="3" fontId="1" fillId="0" borderId="45" xfId="0" applyNumberFormat="1" applyFont="1" applyBorder="1" applyAlignment="1" applyProtection="1">
      <alignment horizontal="center"/>
      <protection/>
    </xf>
    <xf numFmtId="3" fontId="1" fillId="0" borderId="45" xfId="0" applyNumberFormat="1" applyFont="1" applyBorder="1" applyAlignment="1" applyProtection="1">
      <alignment horizontal="right"/>
      <protection/>
    </xf>
    <xf numFmtId="3" fontId="1" fillId="0" borderId="45" xfId="0" applyNumberFormat="1" applyFont="1" applyBorder="1" applyAlignment="1">
      <alignment/>
    </xf>
    <xf numFmtId="3" fontId="1" fillId="0" borderId="48" xfId="0" applyNumberFormat="1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/>
    </xf>
    <xf numFmtId="182" fontId="0" fillId="0" borderId="45" xfId="0" applyNumberFormat="1" applyFont="1" applyBorder="1" applyAlignment="1" applyProtection="1">
      <alignment/>
      <protection/>
    </xf>
    <xf numFmtId="10" fontId="0" fillId="0" borderId="45" xfId="0" applyNumberFormat="1" applyFont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82" fontId="6" fillId="0" borderId="47" xfId="0" applyNumberFormat="1" applyFont="1" applyFill="1" applyBorder="1" applyAlignment="1" applyProtection="1">
      <alignment/>
      <protection/>
    </xf>
    <xf numFmtId="182" fontId="6" fillId="0" borderId="45" xfId="0" applyNumberFormat="1" applyFont="1" applyFill="1" applyBorder="1" applyAlignment="1" applyProtection="1">
      <alignment/>
      <protection/>
    </xf>
    <xf numFmtId="182" fontId="0" fillId="0" borderId="45" xfId="0" applyNumberFormat="1" applyFont="1" applyBorder="1" applyAlignment="1">
      <alignment/>
    </xf>
    <xf numFmtId="4" fontId="0" fillId="0" borderId="45" xfId="0" applyNumberFormat="1" applyFont="1" applyBorder="1" applyAlignment="1" applyProtection="1">
      <alignment/>
      <protection/>
    </xf>
    <xf numFmtId="182" fontId="0" fillId="0" borderId="48" xfId="0" applyNumberFormat="1" applyFont="1" applyBorder="1" applyAlignment="1">
      <alignment horizontal="center"/>
    </xf>
    <xf numFmtId="182" fontId="12" fillId="0" borderId="0" xfId="0" applyNumberFormat="1" applyFont="1" applyBorder="1" applyAlignment="1">
      <alignment/>
    </xf>
    <xf numFmtId="182" fontId="5" fillId="0" borderId="45" xfId="0" applyNumberFormat="1" applyFont="1" applyFill="1" applyBorder="1" applyAlignment="1" applyProtection="1">
      <alignment horizontal="center"/>
      <protection/>
    </xf>
    <xf numFmtId="182" fontId="5" fillId="0" borderId="45" xfId="0" applyNumberFormat="1" applyFont="1" applyFill="1" applyBorder="1" applyAlignment="1">
      <alignment horizontal="center"/>
    </xf>
    <xf numFmtId="182" fontId="1" fillId="0" borderId="45" xfId="0" applyNumberFormat="1" applyFont="1" applyBorder="1" applyAlignment="1">
      <alignment horizontal="right"/>
    </xf>
    <xf numFmtId="182" fontId="5" fillId="0" borderId="45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 applyProtection="1">
      <alignment/>
      <protection/>
    </xf>
    <xf numFmtId="182" fontId="6" fillId="0" borderId="41" xfId="0" applyNumberFormat="1" applyFont="1" applyFill="1" applyBorder="1" applyAlignment="1" applyProtection="1">
      <alignment wrapText="1"/>
      <protection/>
    </xf>
    <xf numFmtId="182" fontId="6" fillId="0" borderId="41" xfId="0" applyNumberFormat="1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182" fontId="0" fillId="0" borderId="29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182" fontId="0" fillId="0" borderId="46" xfId="0" applyNumberFormat="1" applyFont="1" applyBorder="1" applyAlignment="1">
      <alignment/>
    </xf>
    <xf numFmtId="182" fontId="6" fillId="0" borderId="40" xfId="0" applyNumberFormat="1" applyFont="1" applyFill="1" applyBorder="1" applyAlignment="1">
      <alignment/>
    </xf>
    <xf numFmtId="4" fontId="6" fillId="0" borderId="41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>
      <alignment/>
    </xf>
    <xf numFmtId="182" fontId="1" fillId="0" borderId="45" xfId="0" applyNumberFormat="1" applyFont="1" applyBorder="1" applyAlignment="1">
      <alignment/>
    </xf>
    <xf numFmtId="182" fontId="0" fillId="0" borderId="39" xfId="0" applyNumberFormat="1" applyFont="1" applyBorder="1" applyAlignment="1" applyProtection="1">
      <alignment/>
      <protection/>
    </xf>
    <xf numFmtId="3" fontId="0" fillId="0" borderId="4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3" fontId="5" fillId="0" borderId="45" xfId="0" applyNumberFormat="1" applyFont="1" applyFill="1" applyBorder="1" applyAlignment="1" applyProtection="1">
      <alignment horizontal="centerContinuous"/>
      <protection/>
    </xf>
    <xf numFmtId="3" fontId="5" fillId="0" borderId="43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 applyProtection="1">
      <alignment/>
      <protection/>
    </xf>
    <xf numFmtId="3" fontId="6" fillId="0" borderId="43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 applyProtection="1">
      <alignment horizontal="center"/>
      <protection/>
    </xf>
    <xf numFmtId="3" fontId="5" fillId="0" borderId="50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/>
    </xf>
    <xf numFmtId="3" fontId="6" fillId="0" borderId="3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 horizontal="centerContinuous"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33" xfId="0" applyNumberFormat="1" applyFont="1" applyFill="1" applyBorder="1" applyAlignment="1" applyProtection="1">
      <alignment horizontal="center"/>
      <protection/>
    </xf>
    <xf numFmtId="3" fontId="5" fillId="0" borderId="47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6" fillId="0" borderId="38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47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Fill="1" applyBorder="1" applyAlignment="1" applyProtection="1">
      <alignment/>
      <protection/>
    </xf>
    <xf numFmtId="3" fontId="6" fillId="0" borderId="50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45" xfId="0" applyNumberFormat="1" applyFont="1" applyFill="1" applyBorder="1" applyAlignment="1" applyProtection="1">
      <alignment/>
      <protection/>
    </xf>
    <xf numFmtId="3" fontId="5" fillId="0" borderId="52" xfId="0" applyNumberFormat="1" applyFont="1" applyFill="1" applyBorder="1" applyAlignment="1">
      <alignment horizontal="centerContinuous"/>
    </xf>
    <xf numFmtId="3" fontId="6" fillId="0" borderId="52" xfId="0" applyNumberFormat="1" applyFont="1" applyFill="1" applyBorder="1" applyAlignment="1">
      <alignment horizontal="centerContinuous"/>
    </xf>
    <xf numFmtId="3" fontId="6" fillId="0" borderId="53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right"/>
      <protection/>
    </xf>
    <xf numFmtId="3" fontId="0" fillId="0" borderId="41" xfId="0" applyNumberFormat="1" applyFont="1" applyBorder="1" applyAlignment="1">
      <alignment horizontal="right"/>
    </xf>
    <xf numFmtId="1" fontId="6" fillId="0" borderId="29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 applyProtection="1">
      <alignment horizontal="centerContinuous"/>
      <protection/>
    </xf>
    <xf numFmtId="3" fontId="6" fillId="0" borderId="52" xfId="0" applyNumberFormat="1" applyFont="1" applyFill="1" applyBorder="1" applyAlignment="1">
      <alignment horizontal="centerContinuous"/>
    </xf>
    <xf numFmtId="0" fontId="0" fillId="0" borderId="52" xfId="0" applyBorder="1" applyAlignment="1">
      <alignment horizontal="centerContinuous"/>
    </xf>
    <xf numFmtId="3" fontId="6" fillId="0" borderId="53" xfId="0" applyNumberFormat="1" applyFont="1" applyFill="1" applyBorder="1" applyAlignment="1">
      <alignment horizontal="centerContinuous"/>
    </xf>
    <xf numFmtId="1" fontId="5" fillId="0" borderId="31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 applyProtection="1">
      <alignment horizontal="center"/>
      <protection/>
    </xf>
    <xf numFmtId="1" fontId="5" fillId="0" borderId="47" xfId="0" applyNumberFormat="1" applyFont="1" applyFill="1" applyBorder="1" applyAlignment="1" applyProtection="1">
      <alignment horizontal="center"/>
      <protection/>
    </xf>
    <xf numFmtId="3" fontId="5" fillId="0" borderId="48" xfId="0" applyNumberFormat="1" applyFont="1" applyFill="1" applyBorder="1" applyAlignment="1" applyProtection="1">
      <alignment horizontal="center"/>
      <protection/>
    </xf>
    <xf numFmtId="1" fontId="6" fillId="0" borderId="35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right"/>
      <protection/>
    </xf>
    <xf numFmtId="1" fontId="6" fillId="0" borderId="46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 horizontal="center"/>
    </xf>
    <xf numFmtId="182" fontId="5" fillId="0" borderId="45" xfId="0" applyNumberFormat="1" applyFont="1" applyFill="1" applyBorder="1" applyAlignment="1" applyProtection="1">
      <alignment horizontal="center"/>
      <protection/>
    </xf>
    <xf numFmtId="1" fontId="5" fillId="0" borderId="29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Continuous"/>
    </xf>
    <xf numFmtId="3" fontId="5" fillId="0" borderId="30" xfId="0" applyNumberFormat="1" applyFont="1" applyFill="1" applyBorder="1" applyAlignment="1">
      <alignment/>
    </xf>
    <xf numFmtId="182" fontId="5" fillId="0" borderId="53" xfId="0" applyNumberFormat="1" applyFont="1" applyFill="1" applyBorder="1" applyAlignment="1" applyProtection="1">
      <alignment horizontal="center"/>
      <protection/>
    </xf>
    <xf numFmtId="182" fontId="5" fillId="0" borderId="38" xfId="0" applyNumberFormat="1" applyFont="1" applyFill="1" applyBorder="1" applyAlignment="1">
      <alignment horizontal="center"/>
    </xf>
    <xf numFmtId="182" fontId="5" fillId="0" borderId="48" xfId="0" applyNumberFormat="1" applyFont="1" applyFill="1" applyBorder="1" applyAlignment="1" applyProtection="1">
      <alignment horizontal="center"/>
      <protection/>
    </xf>
    <xf numFmtId="1" fontId="6" fillId="0" borderId="35" xfId="0" applyNumberFormat="1" applyFont="1" applyFill="1" applyBorder="1" applyAlignment="1" applyProtection="1">
      <alignment/>
      <protection/>
    </xf>
    <xf numFmtId="182" fontId="6" fillId="0" borderId="42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>
      <alignment horizontal="center"/>
    </xf>
    <xf numFmtId="182" fontId="5" fillId="0" borderId="30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82" fontId="6" fillId="0" borderId="41" xfId="0" applyNumberFormat="1" applyFont="1" applyFill="1" applyBorder="1" applyAlignment="1" applyProtection="1">
      <alignment horizontal="right"/>
      <protection/>
    </xf>
    <xf numFmtId="1" fontId="5" fillId="0" borderId="29" xfId="0" applyNumberFormat="1" applyFont="1" applyFill="1" applyBorder="1" applyAlignment="1" applyProtection="1">
      <alignment horizontal="center"/>
      <protection/>
    </xf>
    <xf numFmtId="182" fontId="5" fillId="0" borderId="32" xfId="0" applyNumberFormat="1" applyFont="1" applyFill="1" applyBorder="1" applyAlignment="1" applyProtection="1">
      <alignment horizontal="center"/>
      <protection/>
    </xf>
    <xf numFmtId="182" fontId="6" fillId="0" borderId="4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>
      <alignment/>
    </xf>
    <xf numFmtId="183" fontId="6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 horizontal="right"/>
    </xf>
    <xf numFmtId="181" fontId="5" fillId="0" borderId="45" xfId="0" applyNumberFormat="1" applyFont="1" applyFill="1" applyBorder="1" applyAlignment="1" applyProtection="1">
      <alignment horizontal="center"/>
      <protection/>
    </xf>
    <xf numFmtId="181" fontId="12" fillId="0" borderId="0" xfId="0" applyNumberFormat="1" applyFont="1" applyBorder="1" applyAlignment="1">
      <alignment horizontal="right"/>
    </xf>
    <xf numFmtId="181" fontId="15" fillId="0" borderId="0" xfId="0" applyNumberFormat="1" applyFont="1" applyFill="1" applyBorder="1" applyAlignment="1" applyProtection="1">
      <alignment horizontal="left"/>
      <protection/>
    </xf>
    <xf numFmtId="1" fontId="5" fillId="0" borderId="45" xfId="0" applyNumberFormat="1" applyFont="1" applyFill="1" applyBorder="1" applyAlignment="1" applyProtection="1">
      <alignment horizontal="center"/>
      <protection/>
    </xf>
    <xf numFmtId="181" fontId="5" fillId="0" borderId="29" xfId="0" applyNumberFormat="1" applyFont="1" applyFill="1" applyBorder="1" applyAlignment="1">
      <alignment/>
    </xf>
    <xf numFmtId="181" fontId="5" fillId="0" borderId="52" xfId="0" applyNumberFormat="1" applyFont="1" applyFill="1" applyBorder="1" applyAlignment="1" applyProtection="1">
      <alignment/>
      <protection/>
    </xf>
    <xf numFmtId="181" fontId="5" fillId="0" borderId="52" xfId="0" applyNumberFormat="1" applyFont="1" applyFill="1" applyBorder="1" applyAlignment="1" applyProtection="1">
      <alignment horizontal="center"/>
      <protection/>
    </xf>
    <xf numFmtId="183" fontId="5" fillId="0" borderId="53" xfId="0" applyNumberFormat="1" applyFont="1" applyFill="1" applyBorder="1" applyAlignment="1">
      <alignment/>
    </xf>
    <xf numFmtId="181" fontId="5" fillId="0" borderId="47" xfId="0" applyNumberFormat="1" applyFont="1" applyFill="1" applyBorder="1" applyAlignment="1" applyProtection="1">
      <alignment horizontal="center"/>
      <protection/>
    </xf>
    <xf numFmtId="183" fontId="5" fillId="0" borderId="48" xfId="0" applyNumberFormat="1" applyFont="1" applyFill="1" applyBorder="1" applyAlignment="1" applyProtection="1">
      <alignment horizontal="center"/>
      <protection/>
    </xf>
    <xf numFmtId="181" fontId="6" fillId="0" borderId="31" xfId="0" applyNumberFormat="1" applyFont="1" applyFill="1" applyBorder="1" applyAlignment="1">
      <alignment/>
    </xf>
    <xf numFmtId="183" fontId="6" fillId="0" borderId="38" xfId="0" applyNumberFormat="1" applyFont="1" applyFill="1" applyBorder="1" applyAlignment="1">
      <alignment/>
    </xf>
    <xf numFmtId="181" fontId="15" fillId="0" borderId="31" xfId="0" applyNumberFormat="1" applyFont="1" applyFill="1" applyBorder="1" applyAlignment="1" applyProtection="1">
      <alignment horizontal="left"/>
      <protection/>
    </xf>
    <xf numFmtId="181" fontId="0" fillId="0" borderId="39" xfId="0" applyNumberFormat="1" applyFont="1" applyBorder="1" applyAlignment="1">
      <alignment/>
    </xf>
    <xf numFmtId="183" fontId="0" fillId="0" borderId="40" xfId="0" applyNumberFormat="1" applyFont="1" applyBorder="1" applyAlignment="1">
      <alignment/>
    </xf>
    <xf numFmtId="181" fontId="5" fillId="0" borderId="30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181" fontId="6" fillId="0" borderId="35" xfId="0" applyNumberFormat="1" applyFont="1" applyFill="1" applyBorder="1" applyAlignment="1" applyProtection="1">
      <alignment/>
      <protection/>
    </xf>
    <xf numFmtId="181" fontId="6" fillId="0" borderId="41" xfId="0" applyNumberFormat="1" applyFont="1" applyFill="1" applyBorder="1" applyAlignment="1" applyProtection="1">
      <alignment/>
      <protection/>
    </xf>
    <xf numFmtId="181" fontId="0" fillId="0" borderId="41" xfId="0" applyNumberFormat="1" applyFont="1" applyBorder="1" applyAlignment="1" applyProtection="1">
      <alignment/>
      <protection/>
    </xf>
    <xf numFmtId="183" fontId="0" fillId="0" borderId="42" xfId="0" applyNumberFormat="1" applyFont="1" applyBorder="1" applyAlignment="1" applyProtection="1">
      <alignment/>
      <protection/>
    </xf>
    <xf numFmtId="181" fontId="6" fillId="0" borderId="35" xfId="0" applyNumberFormat="1" applyFont="1" applyFill="1" applyBorder="1" applyAlignment="1" applyProtection="1">
      <alignment wrapText="1"/>
      <protection/>
    </xf>
    <xf numFmtId="181" fontId="6" fillId="0" borderId="41" xfId="0" applyNumberFormat="1" applyFont="1" applyFill="1" applyBorder="1" applyAlignment="1" applyProtection="1">
      <alignment wrapText="1"/>
      <protection/>
    </xf>
    <xf numFmtId="181" fontId="6" fillId="0" borderId="41" xfId="0" applyNumberFormat="1" applyFont="1" applyFill="1" applyBorder="1" applyAlignment="1" applyProtection="1">
      <alignment/>
      <protection/>
    </xf>
    <xf numFmtId="183" fontId="6" fillId="0" borderId="42" xfId="0" applyNumberFormat="1" applyFont="1" applyFill="1" applyBorder="1" applyAlignment="1" applyProtection="1">
      <alignment/>
      <protection/>
    </xf>
    <xf numFmtId="181" fontId="16" fillId="0" borderId="31" xfId="0" applyNumberFormat="1" applyFont="1" applyFill="1" applyBorder="1" applyAlignment="1" applyProtection="1">
      <alignment horizontal="center"/>
      <protection/>
    </xf>
    <xf numFmtId="181" fontId="6" fillId="0" borderId="45" xfId="0" applyNumberFormat="1" applyFont="1" applyFill="1" applyBorder="1" applyAlignment="1" applyProtection="1">
      <alignment horizontal="center"/>
      <protection/>
    </xf>
    <xf numFmtId="181" fontId="6" fillId="0" borderId="45" xfId="0" applyNumberFormat="1" applyFont="1" applyFill="1" applyBorder="1" applyAlignment="1" applyProtection="1">
      <alignment/>
      <protection/>
    </xf>
    <xf numFmtId="183" fontId="6" fillId="0" borderId="48" xfId="0" applyNumberFormat="1" applyFont="1" applyFill="1" applyBorder="1" applyAlignment="1" applyProtection="1">
      <alignment/>
      <protection/>
    </xf>
    <xf numFmtId="182" fontId="14" fillId="0" borderId="0" xfId="0" applyNumberFormat="1" applyFont="1" applyBorder="1" applyAlignment="1">
      <alignment/>
    </xf>
    <xf numFmtId="180" fontId="9" fillId="0" borderId="0" xfId="0" applyNumberFormat="1" applyFont="1" applyAlignment="1">
      <alignment horizontal="right"/>
    </xf>
    <xf numFmtId="182" fontId="17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3" fontId="5" fillId="0" borderId="54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horizontal="centerContinuous"/>
    </xf>
    <xf numFmtId="3" fontId="5" fillId="0" borderId="55" xfId="0" applyNumberFormat="1" applyFont="1" applyFill="1" applyBorder="1" applyAlignment="1" applyProtection="1">
      <alignment horizontal="center"/>
      <protection/>
    </xf>
    <xf numFmtId="3" fontId="6" fillId="0" borderId="56" xfId="0" applyNumberFormat="1" applyFont="1" applyFill="1" applyBorder="1" applyAlignment="1">
      <alignment/>
    </xf>
    <xf numFmtId="3" fontId="6" fillId="0" borderId="57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>
      <alignment horizontal="centerContinuous"/>
    </xf>
    <xf numFmtId="3" fontId="5" fillId="0" borderId="5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 horizontal="centerContinuous"/>
    </xf>
    <xf numFmtId="3" fontId="5" fillId="0" borderId="59" xfId="0" applyNumberFormat="1" applyFont="1" applyFill="1" applyBorder="1" applyAlignment="1" applyProtection="1">
      <alignment horizontal="center"/>
      <protection/>
    </xf>
    <xf numFmtId="3" fontId="5" fillId="0" borderId="60" xfId="0" applyNumberFormat="1" applyFont="1" applyFill="1" applyBorder="1" applyAlignment="1" applyProtection="1">
      <alignment horizontal="center"/>
      <protection/>
    </xf>
    <xf numFmtId="3" fontId="6" fillId="0" borderId="61" xfId="0" applyNumberFormat="1" applyFont="1" applyFill="1" applyBorder="1" applyAlignment="1" applyProtection="1">
      <alignment/>
      <protection/>
    </xf>
    <xf numFmtId="3" fontId="6" fillId="0" borderId="6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Continuous"/>
    </xf>
    <xf numFmtId="182" fontId="6" fillId="0" borderId="4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1" fontId="6" fillId="0" borderId="64" xfId="0" applyNumberFormat="1" applyFont="1" applyFill="1" applyBorder="1" applyAlignment="1" applyProtection="1">
      <alignment horizontal="center"/>
      <protection/>
    </xf>
    <xf numFmtId="3" fontId="6" fillId="0" borderId="63" xfId="0" applyNumberFormat="1" applyFont="1" applyFill="1" applyBorder="1" applyAlignment="1" applyProtection="1">
      <alignment/>
      <protection/>
    </xf>
    <xf numFmtId="3" fontId="6" fillId="0" borderId="63" xfId="0" applyNumberFormat="1" applyFont="1" applyFill="1" applyBorder="1" applyAlignment="1" applyProtection="1">
      <alignment horizontal="right"/>
      <protection/>
    </xf>
    <xf numFmtId="3" fontId="6" fillId="0" borderId="65" xfId="0" applyNumberFormat="1" applyFont="1" applyFill="1" applyBorder="1" applyAlignment="1" applyProtection="1">
      <alignment/>
      <protection/>
    </xf>
    <xf numFmtId="1" fontId="6" fillId="0" borderId="35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 horizontal="right"/>
    </xf>
    <xf numFmtId="1" fontId="6" fillId="0" borderId="64" xfId="0" applyNumberFormat="1" applyFont="1" applyFill="1" applyBorder="1" applyAlignment="1">
      <alignment horizontal="center"/>
    </xf>
    <xf numFmtId="182" fontId="6" fillId="0" borderId="63" xfId="0" applyNumberFormat="1" applyFont="1" applyFill="1" applyBorder="1" applyAlignment="1">
      <alignment/>
    </xf>
    <xf numFmtId="182" fontId="6" fillId="0" borderId="65" xfId="0" applyNumberFormat="1" applyFont="1" applyFill="1" applyBorder="1" applyAlignment="1" applyProtection="1">
      <alignment/>
      <protection/>
    </xf>
    <xf numFmtId="3" fontId="6" fillId="0" borderId="31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right"/>
    </xf>
    <xf numFmtId="1" fontId="6" fillId="0" borderId="66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182" fontId="0" fillId="0" borderId="38" xfId="0" applyNumberFormat="1" applyFont="1" applyBorder="1" applyAlignment="1">
      <alignment horizontal="center"/>
    </xf>
    <xf numFmtId="182" fontId="0" fillId="0" borderId="31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>
      <alignment horizontal="right"/>
    </xf>
    <xf numFmtId="0" fontId="0" fillId="0" borderId="31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82" fontId="0" fillId="0" borderId="41" xfId="0" applyNumberFormat="1" applyFont="1" applyFill="1" applyBorder="1" applyAlignment="1" applyProtection="1">
      <alignment/>
      <protection/>
    </xf>
    <xf numFmtId="182" fontId="0" fillId="0" borderId="41" xfId="0" applyNumberFormat="1" applyFont="1" applyFill="1" applyBorder="1" applyAlignment="1" applyProtection="1">
      <alignment wrapText="1"/>
      <protection/>
    </xf>
    <xf numFmtId="182" fontId="0" fillId="0" borderId="41" xfId="0" applyNumberFormat="1" applyFont="1" applyFill="1" applyBorder="1" applyAlignment="1" applyProtection="1">
      <alignment/>
      <protection/>
    </xf>
    <xf numFmtId="1" fontId="6" fillId="0" borderId="64" xfId="0" applyNumberFormat="1" applyFont="1" applyFill="1" applyBorder="1" applyAlignment="1" applyProtection="1">
      <alignment/>
      <protection/>
    </xf>
    <xf numFmtId="3" fontId="6" fillId="0" borderId="63" xfId="0" applyNumberFormat="1" applyFont="1" applyFill="1" applyBorder="1" applyAlignment="1">
      <alignment horizontal="right"/>
    </xf>
    <xf numFmtId="182" fontId="6" fillId="0" borderId="65" xfId="0" applyNumberFormat="1" applyFont="1" applyFill="1" applyBorder="1" applyAlignment="1">
      <alignment/>
    </xf>
    <xf numFmtId="182" fontId="6" fillId="0" borderId="67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13" fillId="3" borderId="29" xfId="0" applyNumberFormat="1" applyFont="1" applyFill="1" applyBorder="1" applyAlignment="1" applyProtection="1">
      <alignment horizontal="center"/>
      <protection/>
    </xf>
    <xf numFmtId="3" fontId="13" fillId="3" borderId="29" xfId="0" applyNumberFormat="1" applyFont="1" applyFill="1" applyBorder="1" applyAlignment="1" applyProtection="1">
      <alignment horizontal="center"/>
      <protection/>
    </xf>
    <xf numFmtId="3" fontId="38" fillId="0" borderId="64" xfId="0" applyNumberFormat="1" applyFont="1" applyFill="1" applyBorder="1" applyAlignment="1">
      <alignment horizontal="justify" vertical="center"/>
    </xf>
    <xf numFmtId="3" fontId="38" fillId="0" borderId="68" xfId="0" applyNumberFormat="1" applyFont="1" applyFill="1" applyBorder="1" applyAlignment="1">
      <alignment horizontal="right" vertical="center"/>
    </xf>
    <xf numFmtId="3" fontId="38" fillId="0" borderId="68" xfId="0" applyNumberFormat="1" applyFont="1" applyFill="1" applyBorder="1" applyAlignment="1" applyProtection="1">
      <alignment horizontal="right" vertical="center"/>
      <protection/>
    </xf>
    <xf numFmtId="3" fontId="38" fillId="0" borderId="65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Border="1" applyAlignment="1">
      <alignment horizontal="justify" vertical="center"/>
    </xf>
    <xf numFmtId="3" fontId="32" fillId="0" borderId="46" xfId="0" applyNumberFormat="1" applyFont="1" applyBorder="1" applyAlignment="1">
      <alignment horizontal="justify" vertical="center"/>
    </xf>
    <xf numFmtId="3" fontId="32" fillId="0" borderId="69" xfId="0" applyNumberFormat="1" applyFont="1" applyBorder="1" applyAlignment="1">
      <alignment horizontal="right" vertical="center"/>
    </xf>
    <xf numFmtId="3" fontId="32" fillId="0" borderId="70" xfId="0" applyNumberFormat="1" applyFont="1" applyBorder="1" applyAlignment="1">
      <alignment horizontal="right" vertical="center"/>
    </xf>
    <xf numFmtId="3" fontId="32" fillId="0" borderId="71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17" fillId="0" borderId="0" xfId="0" applyNumberFormat="1" applyFont="1" applyFill="1" applyBorder="1" applyAlignment="1" applyProtection="1">
      <alignment horizontal="left" vertical="center"/>
      <protection/>
    </xf>
    <xf numFmtId="3" fontId="32" fillId="0" borderId="29" xfId="0" applyNumberFormat="1" applyFont="1" applyBorder="1" applyAlignment="1">
      <alignment horizontal="justify" vertical="center"/>
    </xf>
    <xf numFmtId="3" fontId="9" fillId="0" borderId="72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38" fillId="0" borderId="47" xfId="0" applyNumberFormat="1" applyFont="1" applyFill="1" applyBorder="1" applyAlignment="1">
      <alignment horizontal="justify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justify" vertical="center"/>
    </xf>
    <xf numFmtId="3" fontId="32" fillId="0" borderId="74" xfId="0" applyNumberFormat="1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3" fontId="38" fillId="0" borderId="75" xfId="0" applyNumberFormat="1" applyFont="1" applyFill="1" applyBorder="1" applyAlignment="1" applyProtection="1">
      <alignment horizontal="right" vertical="center"/>
      <protection/>
    </xf>
    <xf numFmtId="3" fontId="38" fillId="0" borderId="64" xfId="0" applyNumberFormat="1" applyFont="1" applyFill="1" applyBorder="1" applyAlignment="1" applyProtection="1">
      <alignment horizontal="justify" vertical="center"/>
      <protection/>
    </xf>
    <xf numFmtId="3" fontId="38" fillId="0" borderId="76" xfId="0" applyNumberFormat="1" applyFont="1" applyFill="1" applyBorder="1" applyAlignment="1" applyProtection="1">
      <alignment horizontal="right" vertical="center"/>
      <protection/>
    </xf>
    <xf numFmtId="3" fontId="38" fillId="0" borderId="77" xfId="0" applyNumberFormat="1" applyFont="1" applyFill="1" applyBorder="1" applyAlignment="1" applyProtection="1">
      <alignment horizontal="center" vertical="center"/>
      <protection/>
    </xf>
    <xf numFmtId="3" fontId="38" fillId="0" borderId="78" xfId="0" applyNumberFormat="1" applyFont="1" applyFill="1" applyBorder="1" applyAlignment="1" applyProtection="1">
      <alignment horizontal="right" vertical="center"/>
      <protection/>
    </xf>
    <xf numFmtId="3" fontId="38" fillId="0" borderId="79" xfId="0" applyNumberFormat="1" applyFont="1" applyFill="1" applyBorder="1" applyAlignment="1" applyProtection="1">
      <alignment horizontal="right" vertical="center"/>
      <protection/>
    </xf>
    <xf numFmtId="3" fontId="38" fillId="0" borderId="80" xfId="0" applyNumberFormat="1" applyFont="1" applyFill="1" applyBorder="1" applyAlignment="1" applyProtection="1">
      <alignment horizontal="right" vertical="center"/>
      <protection/>
    </xf>
    <xf numFmtId="3" fontId="38" fillId="0" borderId="0" xfId="0" applyNumberFormat="1" applyFont="1" applyFill="1" applyBorder="1" applyAlignment="1" applyProtection="1">
      <alignment horizontal="justify" vertical="center"/>
      <protection/>
    </xf>
    <xf numFmtId="3" fontId="38" fillId="0" borderId="0" xfId="0" applyNumberFormat="1" applyFont="1" applyFill="1" applyBorder="1" applyAlignment="1">
      <alignment horizontal="justify" vertical="center"/>
    </xf>
    <xf numFmtId="3" fontId="38" fillId="0" borderId="29" xfId="0" applyNumberFormat="1" applyFont="1" applyFill="1" applyBorder="1" applyAlignment="1">
      <alignment horizontal="justify" vertical="center"/>
    </xf>
    <xf numFmtId="3" fontId="32" fillId="0" borderId="31" xfId="0" applyNumberFormat="1" applyFont="1" applyBorder="1" applyAlignment="1">
      <alignment horizontal="justify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32" fillId="0" borderId="47" xfId="0" applyNumberFormat="1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center" vertical="center"/>
    </xf>
    <xf numFmtId="3" fontId="32" fillId="0" borderId="64" xfId="0" applyNumberFormat="1" applyFont="1" applyBorder="1" applyAlignment="1">
      <alignment horizontal="justify" vertical="center"/>
    </xf>
    <xf numFmtId="3" fontId="32" fillId="0" borderId="68" xfId="0" applyNumberFormat="1" applyFont="1" applyBorder="1" applyAlignment="1">
      <alignment horizontal="right" vertical="center"/>
    </xf>
    <xf numFmtId="3" fontId="32" fillId="0" borderId="81" xfId="0" applyNumberFormat="1" applyFont="1" applyBorder="1" applyAlignment="1">
      <alignment horizontal="right" vertical="center"/>
    </xf>
    <xf numFmtId="3" fontId="32" fillId="0" borderId="8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32" fillId="0" borderId="43" xfId="0" applyNumberFormat="1" applyFont="1" applyBorder="1" applyAlignment="1">
      <alignment horizontal="right"/>
    </xf>
    <xf numFmtId="3" fontId="32" fillId="0" borderId="49" xfId="0" applyNumberFormat="1" applyFont="1" applyBorder="1" applyAlignment="1">
      <alignment horizontal="right"/>
    </xf>
    <xf numFmtId="3" fontId="38" fillId="0" borderId="68" xfId="0" applyNumberFormat="1" applyFont="1" applyFill="1" applyBorder="1" applyAlignment="1" applyProtection="1">
      <alignment horizontal="right"/>
      <protection/>
    </xf>
    <xf numFmtId="3" fontId="38" fillId="0" borderId="75" xfId="0" applyNumberFormat="1" applyFont="1" applyFill="1" applyBorder="1" applyAlignment="1" applyProtection="1">
      <alignment horizontal="right"/>
      <protection/>
    </xf>
    <xf numFmtId="3" fontId="38" fillId="0" borderId="68" xfId="0" applyNumberFormat="1" applyFont="1" applyFill="1" applyBorder="1" applyAlignment="1">
      <alignment horizontal="right"/>
    </xf>
    <xf numFmtId="3" fontId="38" fillId="0" borderId="75" xfId="0" applyNumberFormat="1" applyFont="1" applyFill="1" applyBorder="1" applyAlignment="1">
      <alignment horizontal="right"/>
    </xf>
    <xf numFmtId="3" fontId="32" fillId="0" borderId="31" xfId="0" applyNumberFormat="1" applyFont="1" applyBorder="1" applyAlignment="1">
      <alignment horizontal="center"/>
    </xf>
    <xf numFmtId="3" fontId="32" fillId="0" borderId="84" xfId="0" applyNumberFormat="1" applyFont="1" applyBorder="1" applyAlignment="1">
      <alignment horizontal="right"/>
    </xf>
    <xf numFmtId="3" fontId="32" fillId="0" borderId="85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/>
    </xf>
    <xf numFmtId="3" fontId="5" fillId="0" borderId="74" xfId="0" applyNumberFormat="1" applyFont="1" applyFill="1" applyBorder="1" applyAlignment="1">
      <alignment horizontal="center"/>
    </xf>
    <xf numFmtId="3" fontId="0" fillId="0" borderId="7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" fontId="6" fillId="0" borderId="86" xfId="0" applyNumberFormat="1" applyFont="1" applyFill="1" applyBorder="1" applyAlignment="1" applyProtection="1">
      <alignment/>
      <protection/>
    </xf>
    <xf numFmtId="3" fontId="6" fillId="0" borderId="87" xfId="0" applyNumberFormat="1" applyFont="1" applyFill="1" applyBorder="1" applyAlignment="1" applyProtection="1">
      <alignment/>
      <protection/>
    </xf>
    <xf numFmtId="3" fontId="6" fillId="0" borderId="74" xfId="0" applyNumberFormat="1" applyFont="1" applyFill="1" applyBorder="1" applyAlignment="1" applyProtection="1">
      <alignment horizontal="right"/>
      <protection/>
    </xf>
    <xf numFmtId="181" fontId="5" fillId="4" borderId="31" xfId="0" applyNumberFormat="1" applyFont="1" applyFill="1" applyBorder="1" applyAlignment="1" applyProtection="1">
      <alignment horizontal="center"/>
      <protection/>
    </xf>
    <xf numFmtId="181" fontId="5" fillId="4" borderId="0" xfId="0" applyNumberFormat="1" applyFont="1" applyFill="1" applyBorder="1" applyAlignment="1" applyProtection="1">
      <alignment horizontal="center"/>
      <protection/>
    </xf>
    <xf numFmtId="181" fontId="1" fillId="4" borderId="0" xfId="0" applyNumberFormat="1" applyFont="1" applyFill="1" applyBorder="1" applyAlignment="1" applyProtection="1">
      <alignment/>
      <protection/>
    </xf>
    <xf numFmtId="183" fontId="1" fillId="0" borderId="38" xfId="0" applyNumberFormat="1" applyFont="1" applyFill="1" applyBorder="1" applyAlignment="1" applyProtection="1">
      <alignment/>
      <protection/>
    </xf>
    <xf numFmtId="3" fontId="17" fillId="0" borderId="75" xfId="0" applyNumberFormat="1" applyFont="1" applyFill="1" applyBorder="1" applyAlignment="1" applyProtection="1">
      <alignment horizontal="right" vertical="center"/>
      <protection/>
    </xf>
    <xf numFmtId="182" fontId="37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17" fillId="0" borderId="88" xfId="0" applyNumberFormat="1" applyFont="1" applyFill="1" applyBorder="1" applyAlignment="1">
      <alignment horizontal="center" vertical="center"/>
    </xf>
    <xf numFmtId="3" fontId="17" fillId="0" borderId="52" xfId="0" applyNumberFormat="1" applyFont="1" applyFill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EN PORCENTAJE DE LA PRODUCCIÓN DE PETRÓLEO 2004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'31PP'!$L$10:$L$13</c:f>
              <c:strCache/>
            </c:strRef>
          </c:cat>
          <c:val>
            <c:numRef>
              <c:f>'31PP'!$M$10:$M$13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COMPARACIÓN ANUAL DE LAS PRODUCCIONES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825"/>
          <c:w val="0.67225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CRUDO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'312CP'!$D$7:$E$7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'312CP'!$D$15:$E$15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GAS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'312CP'!$D$7:$E$7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'312CP'!$D$25:$E$25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0"/>
        <c:axId val="18199951"/>
        <c:axId val="35272772"/>
      </c:barChart>
      <c:catAx>
        <c:axId val="1819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272772"/>
        <c:crosses val="autoZero"/>
        <c:auto val="1"/>
        <c:lblOffset val="100"/>
        <c:noMultiLvlLbl val="0"/>
      </c:catAx>
      <c:valAx>
        <c:axId val="35272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Tm y/o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19995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775"/>
          <c:y val="0.45975"/>
          <c:w val="0.20075"/>
          <c:h val="0.13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CRUDO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875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'32PMC'!$K$7</c:f>
              <c:strCache>
                <c:ptCount val="1"/>
                <c:pt idx="0">
                  <c:v>Bbl.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'32PMC'!$A$9:$A$20</c:f>
              <c:strCache/>
            </c:strRef>
          </c:cat>
          <c:val>
            <c:numRef>
              <c:f>'32PMC'!$K$9:$K$20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530591"/>
        <c:axId val="7591316"/>
      </c:lineChart>
      <c:dateAx>
        <c:axId val="62530591"/>
        <c:scaling>
          <c:orientation val="minMax"/>
          <c:max val="37956"/>
          <c:min val="376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591316"/>
        <c:crossesAt val="0"/>
        <c:auto val="0"/>
        <c:baseTimeUnit val="months"/>
        <c:minorUnit val="1"/>
        <c:minorTimeUnit val="months"/>
        <c:noMultiLvlLbl val="0"/>
      </c:dateAx>
      <c:valAx>
        <c:axId val="7591316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Barriles (Bbl)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2530591"/>
        <c:crossesAt val="1236"/>
        <c:crossBetween val="midCat"/>
        <c:dispUnits/>
        <c:majorUnit val="50000"/>
        <c:minorUnit val="50000"/>
      </c:valAx>
      <c:spPr>
        <a:solidFill>
          <a:srgbClr val="FFFFC0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'35PMG'!$B$7:$B$18</c:f>
              <c:strCache/>
            </c:strRef>
          </c:cat>
          <c:val>
            <c:numRef>
              <c:f>'35PMG'!$H$7:$H$18</c:f>
              <c:numCache/>
            </c:numRef>
          </c:val>
          <c:smooth val="0"/>
        </c:ser>
        <c:axId val="31578245"/>
        <c:axId val="7864002"/>
      </c:lineChart>
      <c:dateAx>
        <c:axId val="31578245"/>
        <c:scaling>
          <c:orientation val="minMax"/>
          <c:max val="38322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8640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864002"/>
        <c:scaling>
          <c:orientation val="minMax"/>
          <c:max val="6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Nm</a:t>
                </a:r>
                <a:r>
                  <a:rPr lang="en-US" cap="none" sz="1000" b="1" i="0" u="none" baseline="3000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1578245"/>
        <c:crossesAt val="1236"/>
        <c:crossBetween val="midCat"/>
        <c:dispUnits/>
        <c:majorUnit val="10000000"/>
        <c:minorUnit val="1000000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DESGLOSE PRODUCCIÓN ANUAL (Tm / Tep)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3175"/>
          <c:w val="0.966"/>
          <c:h val="0.45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'36SPPG'!$B$11</c:f>
              <c:strCache>
                <c:ptCount val="1"/>
                <c:pt idx="0">
                  <c:v>LORA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'36SPPG'!$B$12</c:f>
              <c:strCache>
                <c:ptCount val="1"/>
                <c:pt idx="0">
                  <c:v>UNITIZACIÓN CASABLANCA-MONTANAZO 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'36SPPG'!$B$13</c:f>
              <c:strCache>
                <c:ptCount val="1"/>
                <c:pt idx="0">
                  <c:v>MARISMAS         (*)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'36SPPG'!$B$14</c:f>
              <c:strCache>
                <c:ptCount val="1"/>
                <c:pt idx="0">
                  <c:v>RODABALLO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'36SPPG'!$B$15</c:f>
              <c:strCache>
                <c:ptCount val="1"/>
                <c:pt idx="0">
                  <c:v>UNITIZACIÓN ANGULA-CASABLANCA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'36SPPG'!$B$16</c:f>
              <c:strCache>
                <c:ptCount val="1"/>
                <c:pt idx="0">
                  <c:v>POSEIDÓN         (*)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'36SPPG'!$B$17</c:f>
              <c:strCache>
                <c:ptCount val="1"/>
                <c:pt idx="0">
                  <c:v>EL RUEDO         (*)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'36SPPG'!$B$18</c:f>
              <c:strCache>
                <c:ptCount val="1"/>
                <c:pt idx="0">
                  <c:v>LAS BARRERAS 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'36SPPG'!$B$19</c:f>
              <c:strCache>
                <c:ptCount val="1"/>
                <c:pt idx="0">
                  <c:v>EL ROMERAL     (*)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123163"/>
        <c:axId val="53947936"/>
      </c:bar3DChart>
      <c:catAx>
        <c:axId val="35123163"/>
        <c:scaling>
          <c:orientation val="minMax"/>
        </c:scaling>
        <c:axPos val="l"/>
        <c:delete val="1"/>
        <c:majorTickMark val="out"/>
        <c:minorTickMark val="none"/>
        <c:tickLblPos val="low"/>
        <c:crossAx val="53947936"/>
        <c:crosses val="autoZero"/>
        <c:auto val="1"/>
        <c:lblOffset val="100"/>
        <c:noMultiLvlLbl val="0"/>
      </c:catAx>
      <c:valAx>
        <c:axId val="53947936"/>
        <c:scaling>
          <c:orientation val="minMax"/>
          <c:max val="500000"/>
          <c:min val="0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5123163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65775"/>
          <c:w val="0.6115"/>
          <c:h val="0.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PRODUCCIÓN ANUAL DE PETRÓLEO (últimos 5 años)</a:t>
            </a:r>
          </a:p>
        </c:rich>
      </c:tx>
      <c:layout>
        <c:manualLayout>
          <c:xMode val="factor"/>
          <c:yMode val="factor"/>
          <c:x val="0.073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"/>
          <c:w val="0.903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'39PAP'!$A$45:$A$49</c:f>
              <c:strCache>
                <c:ptCount val="1"/>
                <c:pt idx="0">
                  <c:v>2000 2001 2002 2003 2004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'39PAP'!$A$45:$A$49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'39PAP'!$P$45:$P$49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0234529"/>
        <c:axId val="57504558"/>
      </c:lineChart>
      <c:catAx>
        <c:axId val="3023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504558"/>
        <c:crosses val="autoZero"/>
        <c:auto val="1"/>
        <c:lblOffset val="100"/>
        <c:noMultiLvlLbl val="0"/>
      </c:catAx>
      <c:valAx>
        <c:axId val="5750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234529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PRODUCCIÓN ANUAL DE GAS (últimos 5 años)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'310PAG'!$A$44:$A$48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'310PAG'!$O$44:$O$48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361751"/>
        <c:axId val="54593900"/>
      </c:lineChart>
      <c:catAx>
        <c:axId val="936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593900"/>
        <c:crosses val="autoZero"/>
        <c:auto val="1"/>
        <c:lblOffset val="100"/>
        <c:noMultiLvlLbl val="0"/>
      </c:catAx>
      <c:valAx>
        <c:axId val="5459390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Miles de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361751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PETRÓLEO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'311PAGyP'!$A$43:$A$47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'311PAGyP'!$C$43:$C$47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8632061"/>
        <c:axId val="32454746"/>
      </c:barChart>
      <c:catAx>
        <c:axId val="3863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54746"/>
        <c:crosses val="autoZero"/>
        <c:auto val="1"/>
        <c:lblOffset val="100"/>
        <c:noMultiLvlLbl val="0"/>
      </c:catAx>
      <c:valAx>
        <c:axId val="32454746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632061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'311PAGyP'!$A$43:$A$47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'311PAGyP'!$E$43:$E$47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9258515"/>
        <c:axId val="49034104"/>
      </c:barChart>
      <c:catAx>
        <c:axId val="1925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034104"/>
        <c:crosses val="autoZero"/>
        <c:auto val="1"/>
        <c:lblOffset val="100"/>
        <c:noMultiLvlLbl val="0"/>
      </c:catAx>
      <c:valAx>
        <c:axId val="49034104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58515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
(Miles de Tm y/o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'311PAGyP'!$A$43:$A$47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'311PAGyP'!$C$43:$C$47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'311PAGyP'!$A$43:$A$47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'311PAGyP'!$D$43:$D$47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'311PAGyP'!$A$43:$A$47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'311PAGyP'!$E$43:$E$47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3463577"/>
        <c:axId val="32373318"/>
      </c:barChart>
      <c:catAx>
        <c:axId val="33463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373318"/>
        <c:crosses val="autoZero"/>
        <c:auto val="1"/>
        <c:lblOffset val="100"/>
        <c:noMultiLvlLbl val="0"/>
      </c:catAx>
      <c:valAx>
        <c:axId val="32373318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463577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40</xdr:row>
      <xdr:rowOff>19050</xdr:rowOff>
    </xdr:from>
    <xdr:to>
      <xdr:col>7</xdr:col>
      <xdr:colOff>495300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685800" y="6572250"/>
        <a:ext cx="46767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25</xdr:row>
      <xdr:rowOff>28575</xdr:rowOff>
    </xdr:from>
    <xdr:to>
      <xdr:col>8</xdr:col>
      <xdr:colOff>485775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1419225" y="4133850"/>
        <a:ext cx="5581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9525</xdr:rowOff>
    </xdr:from>
    <xdr:to>
      <xdr:col>7</xdr:col>
      <xdr:colOff>476250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14300" y="3257550"/>
        <a:ext cx="6181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28575</xdr:rowOff>
    </xdr:from>
    <xdr:to>
      <xdr:col>9</xdr:col>
      <xdr:colOff>904875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323850" y="5324475"/>
        <a:ext cx="5676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28575</xdr:rowOff>
    </xdr:from>
    <xdr:to>
      <xdr:col>13</xdr:col>
      <xdr:colOff>895350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200650" y="1581150"/>
        <a:ext cx="4781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19050</xdr:rowOff>
    </xdr:from>
    <xdr:to>
      <xdr:col>10</xdr:col>
      <xdr:colOff>371475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124200" y="1390650"/>
        <a:ext cx="4191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114300</xdr:rowOff>
    </xdr:from>
    <xdr:to>
      <xdr:col>2</xdr:col>
      <xdr:colOff>2314575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714375" y="1990725"/>
        <a:ext cx="22288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11</xdr:row>
      <xdr:rowOff>104775</xdr:rowOff>
    </xdr:from>
    <xdr:to>
      <xdr:col>4</xdr:col>
      <xdr:colOff>2352675</xdr:colOff>
      <xdr:row>41</xdr:row>
      <xdr:rowOff>123825</xdr:rowOff>
    </xdr:to>
    <xdr:graphicFrame>
      <xdr:nvGraphicFramePr>
        <xdr:cNvPr id="2" name="Chart 5"/>
        <xdr:cNvGraphicFramePr/>
      </xdr:nvGraphicFramePr>
      <xdr:xfrm>
        <a:off x="3905250" y="1981200"/>
        <a:ext cx="22383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11</xdr:row>
      <xdr:rowOff>95250</xdr:rowOff>
    </xdr:from>
    <xdr:to>
      <xdr:col>6</xdr:col>
      <xdr:colOff>2362200</xdr:colOff>
      <xdr:row>41</xdr:row>
      <xdr:rowOff>123825</xdr:rowOff>
    </xdr:to>
    <xdr:graphicFrame>
      <xdr:nvGraphicFramePr>
        <xdr:cNvPr id="3" name="Chart 6"/>
        <xdr:cNvGraphicFramePr/>
      </xdr:nvGraphicFramePr>
      <xdr:xfrm>
        <a:off x="7067550" y="1971675"/>
        <a:ext cx="224790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133350</xdr:rowOff>
    </xdr:from>
    <xdr:to>
      <xdr:col>6</xdr:col>
      <xdr:colOff>581025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81000" y="6076950"/>
        <a:ext cx="5400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27">
      <selection activeCell="B26" sqref="B26"/>
    </sheetView>
  </sheetViews>
  <sheetFormatPr defaultColWidth="11.421875" defaultRowHeight="12.75"/>
  <cols>
    <col min="1" max="1" width="15.7109375" style="80" customWidth="1"/>
    <col min="2" max="2" width="11.7109375" style="80" customWidth="1"/>
    <col min="3" max="3" width="10.7109375" style="80" customWidth="1"/>
    <col min="4" max="4" width="7.7109375" style="80" customWidth="1"/>
    <col min="5" max="5" width="1.7109375" style="80" customWidth="1"/>
    <col min="6" max="7" width="12.7109375" style="80" customWidth="1"/>
    <col min="8" max="8" width="7.7109375" style="80" customWidth="1"/>
    <col min="9" max="9" width="1.7109375" style="80" customWidth="1"/>
    <col min="10" max="10" width="11.8515625" style="80" customWidth="1"/>
    <col min="11" max="11" width="11.421875" style="80" customWidth="1"/>
    <col min="12" max="12" width="16.28125" style="80" customWidth="1"/>
    <col min="13" max="13" width="8.7109375" style="80" customWidth="1"/>
    <col min="14" max="16384" width="11.421875" style="80" customWidth="1"/>
  </cols>
  <sheetData>
    <row r="1" ht="15.75">
      <c r="A1" s="85" t="s">
        <v>126</v>
      </c>
    </row>
    <row r="4" ht="13.5" thickBot="1"/>
    <row r="5" spans="1:11" ht="13.5" thickTop="1">
      <c r="A5" s="103"/>
      <c r="B5" s="104"/>
      <c r="C5" s="104"/>
      <c r="D5" s="104"/>
      <c r="E5" s="104"/>
      <c r="F5" s="104"/>
      <c r="G5" s="104"/>
      <c r="H5" s="104"/>
      <c r="I5" s="104"/>
      <c r="J5" s="105"/>
      <c r="K5" s="81"/>
    </row>
    <row r="6" spans="1:11" ht="12.75">
      <c r="A6" s="106"/>
      <c r="B6" s="90"/>
      <c r="C6" s="90"/>
      <c r="D6" s="90"/>
      <c r="E6" s="90"/>
      <c r="F6" s="92" t="s">
        <v>127</v>
      </c>
      <c r="G6" s="93"/>
      <c r="H6" s="93"/>
      <c r="I6" s="93"/>
      <c r="J6" s="107"/>
      <c r="K6" s="81"/>
    </row>
    <row r="7" spans="1:11" ht="12.75">
      <c r="A7" s="106"/>
      <c r="B7" s="121" t="s">
        <v>128</v>
      </c>
      <c r="C7" s="123"/>
      <c r="D7" s="123"/>
      <c r="E7" s="93"/>
      <c r="F7" s="121" t="s">
        <v>0</v>
      </c>
      <c r="G7" s="123"/>
      <c r="H7" s="123"/>
      <c r="I7" s="93"/>
      <c r="J7" s="107"/>
      <c r="K7" s="81"/>
    </row>
    <row r="8" spans="1:13" ht="12.75">
      <c r="A8" s="108" t="s">
        <v>1</v>
      </c>
      <c r="B8" s="89"/>
      <c r="C8" s="89"/>
      <c r="D8" s="89"/>
      <c r="E8" s="89"/>
      <c r="F8" s="89"/>
      <c r="G8" s="89"/>
      <c r="H8" s="89"/>
      <c r="I8" s="89"/>
      <c r="J8" s="109" t="s">
        <v>2</v>
      </c>
      <c r="K8" s="81"/>
      <c r="L8" s="438" t="s">
        <v>118</v>
      </c>
      <c r="M8" s="438"/>
    </row>
    <row r="9" spans="1:11" ht="12.75">
      <c r="A9" s="110" t="s">
        <v>3</v>
      </c>
      <c r="B9" s="102" t="s">
        <v>185</v>
      </c>
      <c r="C9" s="102" t="s">
        <v>171</v>
      </c>
      <c r="D9" s="102" t="s">
        <v>97</v>
      </c>
      <c r="E9" s="102"/>
      <c r="F9" s="102" t="s">
        <v>185</v>
      </c>
      <c r="G9" s="102" t="s">
        <v>171</v>
      </c>
      <c r="H9" s="102" t="s">
        <v>97</v>
      </c>
      <c r="I9" s="102"/>
      <c r="J9" s="111" t="s">
        <v>4</v>
      </c>
      <c r="K9" s="81"/>
    </row>
    <row r="10" spans="1:13" ht="12.75">
      <c r="A10" s="114"/>
      <c r="B10" s="81"/>
      <c r="C10" s="81"/>
      <c r="D10" s="81"/>
      <c r="E10" s="81"/>
      <c r="F10" s="81"/>
      <c r="G10" s="81"/>
      <c r="H10" s="81"/>
      <c r="I10" s="81"/>
      <c r="J10" s="116"/>
      <c r="K10" s="81"/>
      <c r="L10" s="80" t="s">
        <v>5</v>
      </c>
      <c r="M10" s="370">
        <f>+D11/100</f>
        <v>0.024957964706067225</v>
      </c>
    </row>
    <row r="11" spans="1:13" ht="12.75">
      <c r="A11" s="112" t="s">
        <v>98</v>
      </c>
      <c r="B11" s="84">
        <f>+'32PMC'!C22</f>
        <v>46354</v>
      </c>
      <c r="C11" s="84">
        <f>+'32PMC'!B22</f>
        <v>6353</v>
      </c>
      <c r="D11" s="86">
        <f>(+C11/C$23)*100</f>
        <v>2.4957964706067224</v>
      </c>
      <c r="E11" s="86"/>
      <c r="F11" s="84">
        <f>+'33PAC'!C23</f>
        <v>16921927</v>
      </c>
      <c r="G11" s="84">
        <f>+'33PAC'!B23</f>
        <v>2264745</v>
      </c>
      <c r="H11" s="86">
        <f>(+G11/G$23)*100</f>
        <v>9.726913952516322</v>
      </c>
      <c r="I11" s="86"/>
      <c r="J11" s="113" t="s">
        <v>117</v>
      </c>
      <c r="K11" s="81"/>
      <c r="L11" s="80" t="s">
        <v>37</v>
      </c>
      <c r="M11" s="370">
        <f>+D14/100</f>
        <v>0.6800917705108663</v>
      </c>
    </row>
    <row r="12" spans="1:13" ht="12.75">
      <c r="A12" s="114"/>
      <c r="D12" s="86"/>
      <c r="E12" s="86"/>
      <c r="H12" s="84"/>
      <c r="I12" s="84"/>
      <c r="J12" s="115"/>
      <c r="K12" s="81"/>
      <c r="L12" s="80" t="s">
        <v>11</v>
      </c>
      <c r="M12" s="370">
        <f>+D17/100</f>
        <v>0.21430535694643055</v>
      </c>
    </row>
    <row r="13" spans="1:13" ht="12.75">
      <c r="A13" s="112" t="s">
        <v>183</v>
      </c>
      <c r="D13" s="86"/>
      <c r="E13" s="86"/>
      <c r="H13" s="84"/>
      <c r="I13" s="84"/>
      <c r="J13" s="115"/>
      <c r="K13" s="81"/>
      <c r="L13" s="80" t="s">
        <v>39</v>
      </c>
      <c r="M13" s="370">
        <f>+D20/100</f>
        <v>0.08064490783663592</v>
      </c>
    </row>
    <row r="14" spans="1:11" ht="12.75">
      <c r="A14" s="112" t="s">
        <v>8</v>
      </c>
      <c r="B14" s="84">
        <f>+'32PMC'!E22</f>
        <v>1255156</v>
      </c>
      <c r="C14" s="84">
        <f>+'32PMC'!D22</f>
        <v>173116</v>
      </c>
      <c r="D14" s="86">
        <f>(+C14/C$23)*100</f>
        <v>68.00917705108664</v>
      </c>
      <c r="E14" s="86"/>
      <c r="F14" s="84">
        <f>+'33PAC'!E23</f>
        <v>142885586</v>
      </c>
      <c r="G14" s="84">
        <f>+'33PAC'!D23</f>
        <v>19549843</v>
      </c>
      <c r="H14" s="86">
        <f>(+G14/G$23)*100</f>
        <v>83.96514426401362</v>
      </c>
      <c r="I14" s="86"/>
      <c r="J14" s="113" t="s">
        <v>6</v>
      </c>
      <c r="K14" s="81"/>
    </row>
    <row r="15" spans="1:11" ht="12.75">
      <c r="A15" s="112" t="s">
        <v>9</v>
      </c>
      <c r="D15" s="86"/>
      <c r="E15" s="86"/>
      <c r="H15" s="84"/>
      <c r="I15" s="84"/>
      <c r="J15" s="115"/>
      <c r="K15" s="81"/>
    </row>
    <row r="16" spans="1:11" ht="12.75">
      <c r="A16" s="114"/>
      <c r="B16" s="81"/>
      <c r="C16" s="81"/>
      <c r="D16" s="87"/>
      <c r="E16" s="87"/>
      <c r="F16" s="81"/>
      <c r="G16" s="81"/>
      <c r="H16" s="5"/>
      <c r="I16" s="5"/>
      <c r="J16" s="116"/>
      <c r="K16" s="81"/>
    </row>
    <row r="17" spans="1:11" ht="12.75">
      <c r="A17" s="112" t="s">
        <v>99</v>
      </c>
      <c r="B17" s="84">
        <f>+'32PMC'!G22</f>
        <v>421540</v>
      </c>
      <c r="C17" s="84">
        <f>+'32PMC'!F22</f>
        <v>54551</v>
      </c>
      <c r="D17" s="86">
        <f>(+C17/C$23)*100</f>
        <v>21.430535694643055</v>
      </c>
      <c r="E17" s="86"/>
      <c r="F17" s="84">
        <f>+'33PAC'!G23</f>
        <v>6425465</v>
      </c>
      <c r="G17" s="84">
        <f>+'33PAC'!F23</f>
        <v>839971</v>
      </c>
      <c r="H17" s="86">
        <f>(+G17/G$23)*100</f>
        <v>3.60761394311902</v>
      </c>
      <c r="I17" s="86"/>
      <c r="J17" s="113" t="s">
        <v>6</v>
      </c>
      <c r="K17" s="81"/>
    </row>
    <row r="18" spans="1:11" ht="12.75">
      <c r="A18" s="112"/>
      <c r="B18" s="84"/>
      <c r="C18" s="84"/>
      <c r="D18" s="86"/>
      <c r="E18" s="86"/>
      <c r="F18" s="84"/>
      <c r="G18" s="84"/>
      <c r="H18" s="86"/>
      <c r="I18" s="86"/>
      <c r="J18" s="113"/>
      <c r="K18" s="81"/>
    </row>
    <row r="19" spans="1:11" ht="12.75">
      <c r="A19" s="112" t="s">
        <v>184</v>
      </c>
      <c r="D19" s="86"/>
      <c r="E19" s="86"/>
      <c r="H19" s="84"/>
      <c r="I19" s="84"/>
      <c r="J19" s="115"/>
      <c r="K19" s="81"/>
    </row>
    <row r="20" spans="1:11" ht="12.75">
      <c r="A20" s="112" t="s">
        <v>12</v>
      </c>
      <c r="B20" s="80">
        <f>+'32PMC'!I22</f>
        <v>156223</v>
      </c>
      <c r="C20" s="80">
        <f>+'32PMC'!H22</f>
        <v>20528</v>
      </c>
      <c r="D20" s="86">
        <f>(+C20/C$23)*100</f>
        <v>8.064490783663592</v>
      </c>
      <c r="E20" s="86"/>
      <c r="F20" s="80">
        <f>+'33PAC'!I23</f>
        <v>4752096</v>
      </c>
      <c r="G20" s="80">
        <f>+'33PAC'!H23</f>
        <v>628725</v>
      </c>
      <c r="H20" s="86">
        <f>(+G20/G$23)*100</f>
        <v>2.700327840351043</v>
      </c>
      <c r="I20" s="84"/>
      <c r="J20" s="113" t="s">
        <v>6</v>
      </c>
      <c r="K20" s="81"/>
    </row>
    <row r="21" spans="1:11" ht="12.75">
      <c r="A21" s="112" t="s">
        <v>13</v>
      </c>
      <c r="D21" s="86"/>
      <c r="E21" s="86"/>
      <c r="H21" s="84"/>
      <c r="I21" s="84"/>
      <c r="J21" s="115"/>
      <c r="K21" s="81"/>
    </row>
    <row r="22" spans="1:11" ht="12.75">
      <c r="A22" s="114"/>
      <c r="B22" s="81"/>
      <c r="C22" s="81"/>
      <c r="D22" s="88"/>
      <c r="E22" s="88"/>
      <c r="F22" s="81"/>
      <c r="G22" s="81"/>
      <c r="H22" s="81"/>
      <c r="I22" s="81"/>
      <c r="J22" s="116"/>
      <c r="K22" s="81"/>
    </row>
    <row r="23" spans="1:11" ht="12.75">
      <c r="A23" s="168" t="s">
        <v>14</v>
      </c>
      <c r="B23" s="164">
        <f>SUM(B11:B21)</f>
        <v>1879273</v>
      </c>
      <c r="C23" s="164">
        <f>SUM(C11:C21)</f>
        <v>254548</v>
      </c>
      <c r="D23" s="171">
        <f>SUM(D11:D21)</f>
        <v>100</v>
      </c>
      <c r="E23" s="171"/>
      <c r="F23" s="164">
        <f>SUM(F11:F21)</f>
        <v>170985074</v>
      </c>
      <c r="G23" s="164">
        <f>SUM(G11:G21)</f>
        <v>23283284</v>
      </c>
      <c r="H23" s="171">
        <f>SUM(H11:H21)</f>
        <v>100</v>
      </c>
      <c r="I23" s="171"/>
      <c r="J23" s="172" t="s">
        <v>15</v>
      </c>
      <c r="K23" s="81"/>
    </row>
    <row r="24" spans="1:11" ht="12.75">
      <c r="A24" s="112"/>
      <c r="B24" s="84"/>
      <c r="C24" s="84"/>
      <c r="D24" s="86"/>
      <c r="E24" s="86"/>
      <c r="F24" s="84"/>
      <c r="G24" s="84"/>
      <c r="H24" s="86"/>
      <c r="I24" s="86"/>
      <c r="J24" s="356"/>
      <c r="K24" s="81"/>
    </row>
    <row r="25" spans="1:11" ht="12.75">
      <c r="A25" s="357" t="s">
        <v>51</v>
      </c>
      <c r="B25" s="82" t="s">
        <v>186</v>
      </c>
      <c r="C25" s="84"/>
      <c r="D25" s="86"/>
      <c r="E25" s="86"/>
      <c r="F25" s="84"/>
      <c r="G25" s="84"/>
      <c r="H25" s="86"/>
      <c r="I25" s="86"/>
      <c r="J25" s="356"/>
      <c r="K25" s="81"/>
    </row>
    <row r="26" spans="1:11" ht="13.5" thickBot="1">
      <c r="A26" s="117"/>
      <c r="B26" s="119"/>
      <c r="C26" s="119"/>
      <c r="D26" s="119"/>
      <c r="E26" s="119"/>
      <c r="F26" s="119"/>
      <c r="G26" s="119"/>
      <c r="H26" s="119"/>
      <c r="I26" s="119"/>
      <c r="J26" s="120"/>
      <c r="K26" s="81"/>
    </row>
    <row r="27" spans="1:10" ht="13.5" thickTop="1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2" ht="12.75">
      <c r="A28" s="358" t="s">
        <v>104</v>
      </c>
      <c r="B28" s="80" t="s">
        <v>107</v>
      </c>
    </row>
    <row r="29" spans="1:2" ht="12.75">
      <c r="A29" s="358"/>
      <c r="B29" s="80" t="s">
        <v>108</v>
      </c>
    </row>
    <row r="30" ht="12.75">
      <c r="A30" s="358"/>
    </row>
    <row r="31" spans="1:3" ht="12.75">
      <c r="A31" s="355"/>
      <c r="B31" s="355" t="s">
        <v>100</v>
      </c>
      <c r="C31" s="80" t="s">
        <v>109</v>
      </c>
    </row>
    <row r="32" spans="1:2" ht="12.75">
      <c r="A32" s="355"/>
      <c r="B32" s="355"/>
    </row>
    <row r="33" spans="1:3" ht="12.75">
      <c r="A33" s="355"/>
      <c r="B33" s="355" t="s">
        <v>101</v>
      </c>
      <c r="C33" s="80" t="s">
        <v>119</v>
      </c>
    </row>
    <row r="34" spans="1:2" ht="12.75">
      <c r="A34" s="355"/>
      <c r="B34" s="355"/>
    </row>
    <row r="35" spans="1:3" ht="12.75">
      <c r="A35" s="355"/>
      <c r="B35" s="355" t="s">
        <v>102</v>
      </c>
      <c r="C35" s="80" t="s">
        <v>116</v>
      </c>
    </row>
    <row r="36" spans="1:2" ht="12.75">
      <c r="A36" s="355"/>
      <c r="B36" s="355"/>
    </row>
    <row r="37" spans="1:3" ht="12.75">
      <c r="A37" s="355"/>
      <c r="B37" s="355" t="s">
        <v>103</v>
      </c>
      <c r="C37" s="80" t="s">
        <v>110</v>
      </c>
    </row>
  </sheetData>
  <mergeCells count="1">
    <mergeCell ref="L8:M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&amp;C&amp;9 3.1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12.57421875" defaultRowHeight="12.75"/>
  <cols>
    <col min="1" max="1" width="7.7109375" style="232" customWidth="1"/>
    <col min="2" max="2" width="2.7109375" style="68" customWidth="1"/>
    <col min="3" max="11" width="11.7109375" style="68" customWidth="1"/>
    <col min="12" max="12" width="2.7109375" style="68" customWidth="1"/>
    <col min="13" max="13" width="9.7109375" style="68" customWidth="1"/>
    <col min="14" max="14" width="2.7109375" style="68" customWidth="1"/>
    <col min="15" max="15" width="10.7109375" style="80" customWidth="1"/>
    <col min="16" max="16" width="3.57421875" style="68" customWidth="1"/>
    <col min="17" max="16384" width="12.57421875" style="68" customWidth="1"/>
  </cols>
  <sheetData>
    <row r="1" spans="1:3" ht="15.75">
      <c r="A1" s="235" t="s">
        <v>65</v>
      </c>
      <c r="B1" s="69" t="s">
        <v>145</v>
      </c>
      <c r="C1" s="236"/>
    </row>
    <row r="3" spans="1:16" ht="13.5" thickBot="1">
      <c r="A3" s="230"/>
      <c r="B3" s="2"/>
      <c r="C3"/>
      <c r="D3"/>
      <c r="E3" s="2"/>
      <c r="F3" s="2"/>
      <c r="G3" s="2"/>
      <c r="H3" s="2"/>
      <c r="I3" s="2"/>
      <c r="J3" s="2"/>
      <c r="K3" s="2"/>
      <c r="L3" s="2"/>
      <c r="M3" s="2"/>
      <c r="N3" s="2"/>
      <c r="O3"/>
      <c r="P3" s="2"/>
    </row>
    <row r="4" spans="1:16" ht="15" thickTop="1">
      <c r="A4" s="258"/>
      <c r="B4" s="48"/>
      <c r="C4" s="242" t="s">
        <v>66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60"/>
      <c r="O4" s="261" t="s">
        <v>14</v>
      </c>
      <c r="P4" s="2"/>
    </row>
    <row r="5" spans="1:16" ht="12.75">
      <c r="A5" s="248" t="s">
        <v>60</v>
      </c>
      <c r="B5" s="227"/>
      <c r="C5" s="227"/>
      <c r="D5" s="227"/>
      <c r="E5" s="228" t="s">
        <v>58</v>
      </c>
      <c r="F5" s="227"/>
      <c r="G5" s="227"/>
      <c r="H5" s="227"/>
      <c r="I5" s="227"/>
      <c r="J5" s="227" t="s">
        <v>93</v>
      </c>
      <c r="K5" s="227" t="s">
        <v>158</v>
      </c>
      <c r="L5" s="227"/>
      <c r="M5" s="227"/>
      <c r="N5" s="227"/>
      <c r="O5" s="262"/>
      <c r="P5" s="2"/>
    </row>
    <row r="6" spans="1:16" ht="12.75">
      <c r="A6" s="249" t="s">
        <v>61</v>
      </c>
      <c r="B6" s="227"/>
      <c r="C6" s="238" t="s">
        <v>67</v>
      </c>
      <c r="D6" s="238" t="s">
        <v>53</v>
      </c>
      <c r="E6" s="238" t="s">
        <v>64</v>
      </c>
      <c r="F6" s="238" t="s">
        <v>33</v>
      </c>
      <c r="G6" s="238" t="s">
        <v>10</v>
      </c>
      <c r="H6" s="238" t="s">
        <v>136</v>
      </c>
      <c r="I6" s="238" t="s">
        <v>89</v>
      </c>
      <c r="J6" s="238" t="s">
        <v>94</v>
      </c>
      <c r="K6" s="238" t="s">
        <v>159</v>
      </c>
      <c r="L6" s="227"/>
      <c r="M6" s="238" t="s">
        <v>14</v>
      </c>
      <c r="N6" s="227"/>
      <c r="O6" s="263" t="s">
        <v>192</v>
      </c>
      <c r="P6" s="2"/>
    </row>
    <row r="7" spans="1:16" ht="12.75">
      <c r="A7" s="264">
        <v>1963</v>
      </c>
      <c r="C7" s="73">
        <v>3816</v>
      </c>
      <c r="D7" s="239" t="s">
        <v>15</v>
      </c>
      <c r="E7" s="239" t="s">
        <v>15</v>
      </c>
      <c r="F7" s="239" t="s">
        <v>15</v>
      </c>
      <c r="G7" s="239" t="s">
        <v>15</v>
      </c>
      <c r="H7" s="239" t="s">
        <v>15</v>
      </c>
      <c r="I7" s="239" t="s">
        <v>15</v>
      </c>
      <c r="J7" s="239" t="s">
        <v>15</v>
      </c>
      <c r="K7" s="239" t="s">
        <v>15</v>
      </c>
      <c r="L7" s="135"/>
      <c r="M7" s="73">
        <f aca="true" t="shared" si="0" ref="M7:M22">SUM(C7:L7)</f>
        <v>3816</v>
      </c>
      <c r="O7" s="265">
        <f aca="true" t="shared" si="1" ref="O7:O22">M7/1000</f>
        <v>3.816</v>
      </c>
      <c r="P7" s="2"/>
    </row>
    <row r="8" spans="1:16" ht="12.75">
      <c r="A8" s="264">
        <v>1964</v>
      </c>
      <c r="B8" s="2"/>
      <c r="C8" s="73">
        <v>2475</v>
      </c>
      <c r="D8" s="239" t="s">
        <v>15</v>
      </c>
      <c r="E8" s="239" t="s">
        <v>15</v>
      </c>
      <c r="F8" s="239" t="s">
        <v>15</v>
      </c>
      <c r="G8" s="239" t="s">
        <v>15</v>
      </c>
      <c r="H8" s="239" t="s">
        <v>15</v>
      </c>
      <c r="I8" s="239" t="s">
        <v>15</v>
      </c>
      <c r="J8" s="239" t="s">
        <v>15</v>
      </c>
      <c r="K8" s="239" t="s">
        <v>15</v>
      </c>
      <c r="L8" s="135"/>
      <c r="M8" s="73">
        <f t="shared" si="0"/>
        <v>2475</v>
      </c>
      <c r="N8" s="2"/>
      <c r="O8" s="265">
        <f t="shared" si="1"/>
        <v>2.475</v>
      </c>
      <c r="P8" s="2"/>
    </row>
    <row r="9" spans="1:16" ht="12.75">
      <c r="A9" s="264">
        <v>1965</v>
      </c>
      <c r="B9" s="2"/>
      <c r="C9" s="73">
        <v>2474</v>
      </c>
      <c r="D9" s="239" t="s">
        <v>15</v>
      </c>
      <c r="E9" s="239" t="s">
        <v>15</v>
      </c>
      <c r="F9" s="239" t="s">
        <v>15</v>
      </c>
      <c r="G9" s="239" t="s">
        <v>15</v>
      </c>
      <c r="H9" s="239" t="s">
        <v>15</v>
      </c>
      <c r="I9" s="239" t="s">
        <v>15</v>
      </c>
      <c r="J9" s="239" t="s">
        <v>15</v>
      </c>
      <c r="K9" s="239" t="s">
        <v>15</v>
      </c>
      <c r="L9" s="135"/>
      <c r="M9" s="73">
        <f t="shared" si="0"/>
        <v>2474</v>
      </c>
      <c r="N9" s="2"/>
      <c r="O9" s="265">
        <f t="shared" si="1"/>
        <v>2.474</v>
      </c>
      <c r="P9" s="2"/>
    </row>
    <row r="10" spans="1:16" ht="12.75">
      <c r="A10" s="264">
        <v>1966</v>
      </c>
      <c r="B10" s="2"/>
      <c r="C10" s="73">
        <v>2475</v>
      </c>
      <c r="D10" s="239" t="s">
        <v>15</v>
      </c>
      <c r="E10" s="239" t="s">
        <v>15</v>
      </c>
      <c r="F10" s="239" t="s">
        <v>15</v>
      </c>
      <c r="G10" s="239" t="s">
        <v>15</v>
      </c>
      <c r="H10" s="239" t="s">
        <v>15</v>
      </c>
      <c r="I10" s="239" t="s">
        <v>15</v>
      </c>
      <c r="J10" s="239" t="s">
        <v>15</v>
      </c>
      <c r="K10" s="239" t="s">
        <v>15</v>
      </c>
      <c r="L10" s="135"/>
      <c r="M10" s="73">
        <f t="shared" si="0"/>
        <v>2475</v>
      </c>
      <c r="N10" s="2"/>
      <c r="O10" s="265">
        <f t="shared" si="1"/>
        <v>2.475</v>
      </c>
      <c r="P10" s="2"/>
    </row>
    <row r="11" spans="1:16" ht="12.75">
      <c r="A11" s="264">
        <v>1967</v>
      </c>
      <c r="B11" s="2"/>
      <c r="C11" s="73">
        <v>2475</v>
      </c>
      <c r="D11" s="239" t="s">
        <v>15</v>
      </c>
      <c r="E11" s="239" t="s">
        <v>15</v>
      </c>
      <c r="F11" s="239" t="s">
        <v>15</v>
      </c>
      <c r="G11" s="239" t="s">
        <v>15</v>
      </c>
      <c r="H11" s="239" t="s">
        <v>15</v>
      </c>
      <c r="I11" s="239" t="s">
        <v>15</v>
      </c>
      <c r="J11" s="239" t="s">
        <v>15</v>
      </c>
      <c r="K11" s="239" t="s">
        <v>15</v>
      </c>
      <c r="L11" s="135"/>
      <c r="M11" s="73">
        <f t="shared" si="0"/>
        <v>2475</v>
      </c>
      <c r="N11" s="2"/>
      <c r="O11" s="265">
        <f t="shared" si="1"/>
        <v>2.475</v>
      </c>
      <c r="P11" s="2"/>
    </row>
    <row r="12" spans="1:16" ht="12.75">
      <c r="A12" s="264">
        <v>1968</v>
      </c>
      <c r="B12" s="2"/>
      <c r="C12" s="73">
        <v>2474</v>
      </c>
      <c r="D12" s="239" t="s">
        <v>15</v>
      </c>
      <c r="E12" s="239" t="s">
        <v>15</v>
      </c>
      <c r="F12" s="239" t="s">
        <v>15</v>
      </c>
      <c r="G12" s="239" t="s">
        <v>15</v>
      </c>
      <c r="H12" s="239" t="s">
        <v>15</v>
      </c>
      <c r="I12" s="239" t="s">
        <v>15</v>
      </c>
      <c r="J12" s="239" t="s">
        <v>15</v>
      </c>
      <c r="K12" s="239" t="s">
        <v>15</v>
      </c>
      <c r="L12" s="135"/>
      <c r="M12" s="73">
        <f t="shared" si="0"/>
        <v>2474</v>
      </c>
      <c r="N12" s="2"/>
      <c r="O12" s="265">
        <f t="shared" si="1"/>
        <v>2.474</v>
      </c>
      <c r="P12" s="2"/>
    </row>
    <row r="13" spans="1:16" ht="12.75">
      <c r="A13" s="264">
        <v>1969</v>
      </c>
      <c r="B13" s="2"/>
      <c r="C13" s="73">
        <v>2476</v>
      </c>
      <c r="D13" s="239" t="s">
        <v>15</v>
      </c>
      <c r="E13" s="239" t="s">
        <v>15</v>
      </c>
      <c r="F13" s="239" t="s">
        <v>15</v>
      </c>
      <c r="G13" s="239" t="s">
        <v>15</v>
      </c>
      <c r="H13" s="239" t="s">
        <v>15</v>
      </c>
      <c r="I13" s="239" t="s">
        <v>15</v>
      </c>
      <c r="J13" s="239" t="s">
        <v>15</v>
      </c>
      <c r="K13" s="239" t="s">
        <v>15</v>
      </c>
      <c r="L13" s="135"/>
      <c r="M13" s="73">
        <f t="shared" si="0"/>
        <v>2476</v>
      </c>
      <c r="N13" s="2"/>
      <c r="O13" s="265">
        <f t="shared" si="1"/>
        <v>2.476</v>
      </c>
      <c r="P13" s="2"/>
    </row>
    <row r="14" spans="1:16" ht="12.75">
      <c r="A14" s="264">
        <v>1970</v>
      </c>
      <c r="B14" s="2"/>
      <c r="C14" s="73">
        <v>1749</v>
      </c>
      <c r="D14" s="239" t="s">
        <v>15</v>
      </c>
      <c r="E14" s="239" t="s">
        <v>15</v>
      </c>
      <c r="F14" s="239" t="s">
        <v>15</v>
      </c>
      <c r="G14" s="239" t="s">
        <v>15</v>
      </c>
      <c r="H14" s="239" t="s">
        <v>15</v>
      </c>
      <c r="I14" s="239" t="s">
        <v>15</v>
      </c>
      <c r="J14" s="239" t="s">
        <v>15</v>
      </c>
      <c r="K14" s="239" t="s">
        <v>15</v>
      </c>
      <c r="L14" s="135"/>
      <c r="M14" s="73">
        <f t="shared" si="0"/>
        <v>1749</v>
      </c>
      <c r="N14" s="2"/>
      <c r="O14" s="265">
        <f t="shared" si="1"/>
        <v>1.749</v>
      </c>
      <c r="P14" s="2"/>
    </row>
    <row r="15" spans="1:16" ht="12.75">
      <c r="A15" s="264">
        <v>1971</v>
      </c>
      <c r="B15" s="2"/>
      <c r="C15" s="73">
        <v>2038</v>
      </c>
      <c r="D15" s="239" t="s">
        <v>15</v>
      </c>
      <c r="E15" s="239" t="s">
        <v>15</v>
      </c>
      <c r="F15" s="239" t="s">
        <v>15</v>
      </c>
      <c r="G15" s="239" t="s">
        <v>15</v>
      </c>
      <c r="H15" s="239" t="s">
        <v>15</v>
      </c>
      <c r="I15" s="239" t="s">
        <v>15</v>
      </c>
      <c r="J15" s="239" t="s">
        <v>15</v>
      </c>
      <c r="K15" s="239" t="s">
        <v>15</v>
      </c>
      <c r="L15" s="135"/>
      <c r="M15" s="73">
        <f t="shared" si="0"/>
        <v>2038</v>
      </c>
      <c r="N15" s="2"/>
      <c r="O15" s="265">
        <f t="shared" si="1"/>
        <v>2.038</v>
      </c>
      <c r="P15" s="2"/>
    </row>
    <row r="16" spans="1:16" ht="12.75">
      <c r="A16" s="264">
        <v>1972</v>
      </c>
      <c r="B16" s="2"/>
      <c r="C16" s="73">
        <v>1926</v>
      </c>
      <c r="D16" s="239" t="s">
        <v>15</v>
      </c>
      <c r="E16" s="239" t="s">
        <v>15</v>
      </c>
      <c r="F16" s="239" t="s">
        <v>15</v>
      </c>
      <c r="G16" s="239" t="s">
        <v>15</v>
      </c>
      <c r="H16" s="239" t="s">
        <v>15</v>
      </c>
      <c r="I16" s="239" t="s">
        <v>15</v>
      </c>
      <c r="J16" s="239" t="s">
        <v>15</v>
      </c>
      <c r="K16" s="239" t="s">
        <v>15</v>
      </c>
      <c r="L16" s="135"/>
      <c r="M16" s="73">
        <f t="shared" si="0"/>
        <v>1926</v>
      </c>
      <c r="N16" s="2"/>
      <c r="O16" s="265">
        <f t="shared" si="1"/>
        <v>1.926</v>
      </c>
      <c r="P16" s="2"/>
    </row>
    <row r="17" spans="1:16" ht="12.75">
      <c r="A17" s="264">
        <v>1973</v>
      </c>
      <c r="B17" s="2"/>
      <c r="C17" s="73">
        <v>1528</v>
      </c>
      <c r="D17" s="239" t="s">
        <v>15</v>
      </c>
      <c r="E17" s="239" t="s">
        <v>15</v>
      </c>
      <c r="F17" s="239" t="s">
        <v>15</v>
      </c>
      <c r="G17" s="239" t="s">
        <v>15</v>
      </c>
      <c r="H17" s="239" t="s">
        <v>15</v>
      </c>
      <c r="I17" s="239" t="s">
        <v>15</v>
      </c>
      <c r="J17" s="239" t="s">
        <v>15</v>
      </c>
      <c r="K17" s="239" t="s">
        <v>15</v>
      </c>
      <c r="L17" s="135"/>
      <c r="M17" s="73">
        <f t="shared" si="0"/>
        <v>1528</v>
      </c>
      <c r="N17" s="2"/>
      <c r="O17" s="265">
        <f t="shared" si="1"/>
        <v>1.528</v>
      </c>
      <c r="P17" s="2"/>
    </row>
    <row r="18" spans="1:16" ht="12.75">
      <c r="A18" s="264">
        <v>1974</v>
      </c>
      <c r="B18" s="2"/>
      <c r="C18" s="73">
        <v>1408</v>
      </c>
      <c r="D18" s="239" t="s">
        <v>15</v>
      </c>
      <c r="E18" s="239" t="s">
        <v>15</v>
      </c>
      <c r="F18" s="239" t="s">
        <v>15</v>
      </c>
      <c r="G18" s="239" t="s">
        <v>15</v>
      </c>
      <c r="H18" s="239" t="s">
        <v>15</v>
      </c>
      <c r="I18" s="239" t="s">
        <v>15</v>
      </c>
      <c r="J18" s="239" t="s">
        <v>15</v>
      </c>
      <c r="K18" s="239" t="s">
        <v>15</v>
      </c>
      <c r="L18" s="135"/>
      <c r="M18" s="73">
        <f t="shared" si="0"/>
        <v>1408</v>
      </c>
      <c r="N18" s="2"/>
      <c r="O18" s="265">
        <f t="shared" si="1"/>
        <v>1.408</v>
      </c>
      <c r="P18" s="2"/>
    </row>
    <row r="19" spans="1:16" ht="12.75">
      <c r="A19" s="264">
        <v>1975</v>
      </c>
      <c r="B19" s="2"/>
      <c r="C19" s="73">
        <v>1163</v>
      </c>
      <c r="D19" s="239" t="s">
        <v>15</v>
      </c>
      <c r="E19" s="239" t="s">
        <v>15</v>
      </c>
      <c r="F19" s="239" t="s">
        <v>15</v>
      </c>
      <c r="G19" s="239" t="s">
        <v>15</v>
      </c>
      <c r="H19" s="239" t="s">
        <v>15</v>
      </c>
      <c r="I19" s="239" t="s">
        <v>15</v>
      </c>
      <c r="J19" s="239" t="s">
        <v>15</v>
      </c>
      <c r="K19" s="239" t="s">
        <v>15</v>
      </c>
      <c r="L19" s="135"/>
      <c r="M19" s="73">
        <f t="shared" si="0"/>
        <v>1163</v>
      </c>
      <c r="N19" s="2"/>
      <c r="O19" s="265">
        <f t="shared" si="1"/>
        <v>1.163</v>
      </c>
      <c r="P19" s="2"/>
    </row>
    <row r="20" spans="1:16" ht="12.75">
      <c r="A20" s="264">
        <v>1976</v>
      </c>
      <c r="B20" s="2"/>
      <c r="C20" s="73">
        <v>1250</v>
      </c>
      <c r="D20" s="239" t="s">
        <v>15</v>
      </c>
      <c r="E20" s="239" t="s">
        <v>15</v>
      </c>
      <c r="F20" s="239" t="s">
        <v>15</v>
      </c>
      <c r="G20" s="239" t="s">
        <v>15</v>
      </c>
      <c r="H20" s="239" t="s">
        <v>15</v>
      </c>
      <c r="I20" s="239" t="s">
        <v>15</v>
      </c>
      <c r="J20" s="239" t="s">
        <v>15</v>
      </c>
      <c r="K20" s="239" t="s">
        <v>15</v>
      </c>
      <c r="L20" s="135"/>
      <c r="M20" s="73">
        <f t="shared" si="0"/>
        <v>1250</v>
      </c>
      <c r="N20" s="2"/>
      <c r="O20" s="265">
        <f t="shared" si="1"/>
        <v>1.25</v>
      </c>
      <c r="P20" s="2"/>
    </row>
    <row r="21" spans="1:16" ht="12.75">
      <c r="A21" s="264">
        <v>1977</v>
      </c>
      <c r="B21" s="2"/>
      <c r="C21" s="73">
        <v>897</v>
      </c>
      <c r="D21" s="239" t="s">
        <v>15</v>
      </c>
      <c r="E21" s="239" t="s">
        <v>15</v>
      </c>
      <c r="F21" s="239" t="s">
        <v>15</v>
      </c>
      <c r="G21" s="239" t="s">
        <v>15</v>
      </c>
      <c r="H21" s="239" t="s">
        <v>15</v>
      </c>
      <c r="I21" s="239" t="s">
        <v>15</v>
      </c>
      <c r="J21" s="239" t="s">
        <v>15</v>
      </c>
      <c r="K21" s="239" t="s">
        <v>15</v>
      </c>
      <c r="L21" s="135"/>
      <c r="M21" s="73">
        <f t="shared" si="0"/>
        <v>897</v>
      </c>
      <c r="N21" s="2"/>
      <c r="O21" s="265">
        <f t="shared" si="1"/>
        <v>0.897</v>
      </c>
      <c r="P21" s="2"/>
    </row>
    <row r="22" spans="1:16" ht="12.75">
      <c r="A22" s="264">
        <v>1978</v>
      </c>
      <c r="B22" s="2"/>
      <c r="C22" s="73">
        <v>537</v>
      </c>
      <c r="D22" s="239" t="s">
        <v>15</v>
      </c>
      <c r="E22" s="239" t="s">
        <v>15</v>
      </c>
      <c r="F22" s="239" t="s">
        <v>15</v>
      </c>
      <c r="G22" s="239" t="s">
        <v>15</v>
      </c>
      <c r="H22" s="239" t="s">
        <v>15</v>
      </c>
      <c r="I22" s="239" t="s">
        <v>15</v>
      </c>
      <c r="J22" s="239" t="s">
        <v>15</v>
      </c>
      <c r="K22" s="239" t="s">
        <v>15</v>
      </c>
      <c r="L22" s="135"/>
      <c r="M22" s="73">
        <f t="shared" si="0"/>
        <v>537</v>
      </c>
      <c r="N22" s="2"/>
      <c r="O22" s="265">
        <f t="shared" si="1"/>
        <v>0.537</v>
      </c>
      <c r="P22" s="2"/>
    </row>
    <row r="23" spans="1:16" ht="12.75">
      <c r="A23" s="264">
        <v>1979</v>
      </c>
      <c r="B23" s="2"/>
      <c r="C23" s="73">
        <v>618</v>
      </c>
      <c r="D23" s="239" t="s">
        <v>15</v>
      </c>
      <c r="E23" s="239" t="s">
        <v>15</v>
      </c>
      <c r="F23" s="239" t="s">
        <v>15</v>
      </c>
      <c r="G23" s="239" t="s">
        <v>15</v>
      </c>
      <c r="H23" s="239" t="s">
        <v>15</v>
      </c>
      <c r="I23" s="239" t="s">
        <v>15</v>
      </c>
      <c r="J23" s="239" t="s">
        <v>15</v>
      </c>
      <c r="K23" s="239" t="s">
        <v>15</v>
      </c>
      <c r="L23" s="135"/>
      <c r="M23" s="73">
        <f aca="true" t="shared" si="2" ref="M23:M38">SUM(C23:L23)</f>
        <v>618</v>
      </c>
      <c r="N23" s="2"/>
      <c r="O23" s="265">
        <f>M23/1000</f>
        <v>0.618</v>
      </c>
      <c r="P23" s="2"/>
    </row>
    <row r="24" spans="1:16" ht="12.75">
      <c r="A24" s="264">
        <v>1980</v>
      </c>
      <c r="B24" s="2"/>
      <c r="C24" s="73">
        <v>624</v>
      </c>
      <c r="D24" s="239" t="s">
        <v>15</v>
      </c>
      <c r="E24" s="239" t="s">
        <v>15</v>
      </c>
      <c r="F24" s="239" t="s">
        <v>15</v>
      </c>
      <c r="G24" s="239" t="s">
        <v>15</v>
      </c>
      <c r="H24" s="239" t="s">
        <v>15</v>
      </c>
      <c r="I24" s="239" t="s">
        <v>15</v>
      </c>
      <c r="J24" s="239" t="s">
        <v>15</v>
      </c>
      <c r="K24" s="239" t="s">
        <v>15</v>
      </c>
      <c r="L24" s="135"/>
      <c r="M24" s="73">
        <f t="shared" si="2"/>
        <v>624</v>
      </c>
      <c r="N24" s="2"/>
      <c r="O24" s="265">
        <f>M24/1000</f>
        <v>0.624</v>
      </c>
      <c r="P24" s="2"/>
    </row>
    <row r="25" spans="1:16" ht="12.75">
      <c r="A25" s="264">
        <v>1981</v>
      </c>
      <c r="B25" s="2"/>
      <c r="C25" s="73">
        <v>318</v>
      </c>
      <c r="D25" s="239" t="s">
        <v>15</v>
      </c>
      <c r="E25" s="239" t="s">
        <v>15</v>
      </c>
      <c r="F25" s="239" t="s">
        <v>15</v>
      </c>
      <c r="G25" s="239" t="s">
        <v>15</v>
      </c>
      <c r="H25" s="239" t="s">
        <v>15</v>
      </c>
      <c r="I25" s="239" t="s">
        <v>15</v>
      </c>
      <c r="J25" s="239" t="s">
        <v>15</v>
      </c>
      <c r="K25" s="239" t="s">
        <v>15</v>
      </c>
      <c r="L25" s="135"/>
      <c r="M25" s="73">
        <f t="shared" si="2"/>
        <v>318</v>
      </c>
      <c r="N25" s="2"/>
      <c r="O25" s="265">
        <f>M25/1000</f>
        <v>0.318</v>
      </c>
      <c r="P25" s="2"/>
    </row>
    <row r="26" spans="1:16" ht="12.75">
      <c r="A26" s="264">
        <v>1982</v>
      </c>
      <c r="B26" s="2"/>
      <c r="C26" s="239" t="s">
        <v>15</v>
      </c>
      <c r="D26" s="239" t="s">
        <v>15</v>
      </c>
      <c r="E26" s="239" t="s">
        <v>15</v>
      </c>
      <c r="F26" s="239" t="s">
        <v>15</v>
      </c>
      <c r="G26" s="239" t="s">
        <v>15</v>
      </c>
      <c r="H26" s="239" t="s">
        <v>15</v>
      </c>
      <c r="I26" s="239" t="s">
        <v>15</v>
      </c>
      <c r="J26" s="239" t="s">
        <v>15</v>
      </c>
      <c r="K26" s="239" t="s">
        <v>15</v>
      </c>
      <c r="L26" s="135"/>
      <c r="M26" s="73">
        <f t="shared" si="2"/>
        <v>0</v>
      </c>
      <c r="N26" s="2"/>
      <c r="O26" s="265">
        <f>M26/1000</f>
        <v>0</v>
      </c>
      <c r="P26" s="2"/>
    </row>
    <row r="27" spans="1:16" ht="12.75">
      <c r="A27" s="264">
        <v>1983</v>
      </c>
      <c r="B27" s="2"/>
      <c r="C27" s="239" t="s">
        <v>15</v>
      </c>
      <c r="D27" s="239" t="s">
        <v>15</v>
      </c>
      <c r="E27" s="239" t="s">
        <v>15</v>
      </c>
      <c r="F27" s="239" t="s">
        <v>15</v>
      </c>
      <c r="G27" s="239" t="s">
        <v>15</v>
      </c>
      <c r="H27" s="239" t="s">
        <v>15</v>
      </c>
      <c r="I27" s="239" t="s">
        <v>15</v>
      </c>
      <c r="J27" s="239" t="s">
        <v>15</v>
      </c>
      <c r="K27" s="239" t="s">
        <v>15</v>
      </c>
      <c r="L27" s="135"/>
      <c r="M27" s="73">
        <f t="shared" si="2"/>
        <v>0</v>
      </c>
      <c r="N27" s="2"/>
      <c r="O27" s="265">
        <f>M27/1000</f>
        <v>0</v>
      </c>
      <c r="P27" s="2"/>
    </row>
    <row r="28" spans="1:16" ht="12.75">
      <c r="A28" s="264">
        <v>1984</v>
      </c>
      <c r="B28" s="2"/>
      <c r="C28" s="239" t="s">
        <v>15</v>
      </c>
      <c r="D28" s="73">
        <v>172441</v>
      </c>
      <c r="E28" s="239" t="s">
        <v>15</v>
      </c>
      <c r="F28" s="239" t="s">
        <v>15</v>
      </c>
      <c r="G28" s="239" t="s">
        <v>15</v>
      </c>
      <c r="H28" s="239" t="s">
        <v>15</v>
      </c>
      <c r="I28" s="239" t="s">
        <v>15</v>
      </c>
      <c r="J28" s="239" t="s">
        <v>15</v>
      </c>
      <c r="K28" s="239" t="s">
        <v>15</v>
      </c>
      <c r="L28" s="135"/>
      <c r="M28" s="73">
        <f t="shared" si="2"/>
        <v>172441</v>
      </c>
      <c r="N28" s="2"/>
      <c r="O28" s="265">
        <v>164</v>
      </c>
      <c r="P28" s="2"/>
    </row>
    <row r="29" spans="1:16" ht="12.75">
      <c r="A29" s="264">
        <v>1985</v>
      </c>
      <c r="B29" s="2"/>
      <c r="C29" s="239" t="s">
        <v>15</v>
      </c>
      <c r="D29" s="73">
        <v>269028</v>
      </c>
      <c r="E29" s="239" t="s">
        <v>15</v>
      </c>
      <c r="F29" s="239" t="s">
        <v>15</v>
      </c>
      <c r="G29" s="239" t="s">
        <v>15</v>
      </c>
      <c r="H29" s="239" t="s">
        <v>15</v>
      </c>
      <c r="I29" s="239" t="s">
        <v>15</v>
      </c>
      <c r="J29" s="239" t="s">
        <v>15</v>
      </c>
      <c r="K29" s="239" t="s">
        <v>15</v>
      </c>
      <c r="L29" s="135"/>
      <c r="M29" s="73">
        <f t="shared" si="2"/>
        <v>269028</v>
      </c>
      <c r="N29" s="2"/>
      <c r="O29" s="265">
        <v>230</v>
      </c>
      <c r="P29" s="2"/>
    </row>
    <row r="30" spans="1:16" ht="12.75">
      <c r="A30" s="264">
        <v>1986</v>
      </c>
      <c r="B30" s="2"/>
      <c r="C30" s="239" t="s">
        <v>15</v>
      </c>
      <c r="D30" s="73">
        <v>206094</v>
      </c>
      <c r="E30" s="73">
        <v>169708</v>
      </c>
      <c r="F30" s="239" t="s">
        <v>15</v>
      </c>
      <c r="G30" s="239" t="s">
        <v>15</v>
      </c>
      <c r="H30" s="239" t="s">
        <v>15</v>
      </c>
      <c r="I30" s="239" t="s">
        <v>15</v>
      </c>
      <c r="J30" s="239" t="s">
        <v>15</v>
      </c>
      <c r="K30" s="239" t="s">
        <v>15</v>
      </c>
      <c r="L30" s="135"/>
      <c r="M30" s="73">
        <f t="shared" si="2"/>
        <v>375802</v>
      </c>
      <c r="N30" s="2"/>
      <c r="O30" s="265">
        <v>321</v>
      </c>
      <c r="P30" s="2"/>
    </row>
    <row r="31" spans="1:16" ht="12.75">
      <c r="A31" s="264">
        <v>1987</v>
      </c>
      <c r="B31" s="2"/>
      <c r="C31" s="239" t="s">
        <v>15</v>
      </c>
      <c r="D31" s="73">
        <v>180718</v>
      </c>
      <c r="E31" s="73">
        <v>555376</v>
      </c>
      <c r="F31" s="239" t="s">
        <v>15</v>
      </c>
      <c r="G31" s="239" t="s">
        <v>15</v>
      </c>
      <c r="H31" s="239" t="s">
        <v>15</v>
      </c>
      <c r="I31" s="239" t="s">
        <v>15</v>
      </c>
      <c r="J31" s="239" t="s">
        <v>15</v>
      </c>
      <c r="K31" s="239" t="s">
        <v>15</v>
      </c>
      <c r="L31" s="135"/>
      <c r="M31" s="73">
        <f t="shared" si="2"/>
        <v>736094</v>
      </c>
      <c r="N31" s="2"/>
      <c r="O31" s="265">
        <v>696</v>
      </c>
      <c r="P31" s="2"/>
    </row>
    <row r="32" spans="1:16" ht="12.75">
      <c r="A32" s="264">
        <v>1988</v>
      </c>
      <c r="B32" s="2"/>
      <c r="C32" s="239" t="s">
        <v>15</v>
      </c>
      <c r="D32" s="73">
        <v>89077</v>
      </c>
      <c r="E32" s="73">
        <v>831633</v>
      </c>
      <c r="F32" s="239" t="s">
        <v>15</v>
      </c>
      <c r="G32" s="239" t="s">
        <v>15</v>
      </c>
      <c r="H32" s="239" t="s">
        <v>15</v>
      </c>
      <c r="I32" s="239" t="s">
        <v>15</v>
      </c>
      <c r="J32" s="239" t="s">
        <v>15</v>
      </c>
      <c r="K32" s="239" t="s">
        <v>15</v>
      </c>
      <c r="L32" s="135"/>
      <c r="M32" s="73">
        <f t="shared" si="2"/>
        <v>920710</v>
      </c>
      <c r="N32" s="2"/>
      <c r="O32" s="265">
        <v>910</v>
      </c>
      <c r="P32" s="2"/>
    </row>
    <row r="33" spans="1:16" ht="12.75">
      <c r="A33" s="264">
        <v>1989</v>
      </c>
      <c r="B33" s="2"/>
      <c r="C33" s="239" t="s">
        <v>15</v>
      </c>
      <c r="D33" s="73">
        <v>13419</v>
      </c>
      <c r="E33" s="73">
        <v>1521230</v>
      </c>
      <c r="F33" s="239" t="s">
        <v>15</v>
      </c>
      <c r="G33" s="239" t="s">
        <v>15</v>
      </c>
      <c r="H33" s="239" t="s">
        <v>15</v>
      </c>
      <c r="I33" s="239" t="s">
        <v>15</v>
      </c>
      <c r="J33" s="239" t="s">
        <v>15</v>
      </c>
      <c r="K33" s="239" t="s">
        <v>15</v>
      </c>
      <c r="L33" s="135"/>
      <c r="M33" s="73">
        <f t="shared" si="2"/>
        <v>1534649</v>
      </c>
      <c r="N33" s="2"/>
      <c r="O33" s="265">
        <v>1527</v>
      </c>
      <c r="P33" s="2"/>
    </row>
    <row r="34" spans="1:16" ht="12.75">
      <c r="A34" s="264">
        <v>1990</v>
      </c>
      <c r="B34" s="2"/>
      <c r="C34" s="239" t="s">
        <v>15</v>
      </c>
      <c r="D34" s="239" t="s">
        <v>15</v>
      </c>
      <c r="E34" s="73">
        <v>1258578</v>
      </c>
      <c r="F34" s="73">
        <v>56114</v>
      </c>
      <c r="G34" s="239" t="s">
        <v>15</v>
      </c>
      <c r="H34" s="239" t="s">
        <v>15</v>
      </c>
      <c r="I34" s="239" t="s">
        <v>15</v>
      </c>
      <c r="J34" s="239" t="s">
        <v>15</v>
      </c>
      <c r="K34" s="239" t="s">
        <v>15</v>
      </c>
      <c r="L34" s="135"/>
      <c r="M34" s="73">
        <f t="shared" si="2"/>
        <v>1314692</v>
      </c>
      <c r="N34" s="2"/>
      <c r="O34" s="265">
        <v>1182.8</v>
      </c>
      <c r="P34" s="2"/>
    </row>
    <row r="35" spans="1:16" ht="12.75">
      <c r="A35" s="264">
        <v>1991</v>
      </c>
      <c r="B35" s="2"/>
      <c r="C35" s="239" t="s">
        <v>15</v>
      </c>
      <c r="D35" s="239" t="s">
        <v>15</v>
      </c>
      <c r="E35" s="73">
        <v>1218786</v>
      </c>
      <c r="F35" s="73">
        <v>108867</v>
      </c>
      <c r="G35" s="239" t="s">
        <v>15</v>
      </c>
      <c r="H35" s="239" t="s">
        <v>15</v>
      </c>
      <c r="I35" s="239" t="s">
        <v>15</v>
      </c>
      <c r="J35" s="239" t="s">
        <v>15</v>
      </c>
      <c r="K35" s="239" t="s">
        <v>15</v>
      </c>
      <c r="L35" s="135"/>
      <c r="M35" s="73">
        <f t="shared" si="2"/>
        <v>1327653</v>
      </c>
      <c r="N35" s="2"/>
      <c r="O35" s="265">
        <v>1191.9</v>
      </c>
      <c r="P35" s="2"/>
    </row>
    <row r="36" spans="1:16" ht="12.75">
      <c r="A36" s="264">
        <v>1992</v>
      </c>
      <c r="B36" s="2"/>
      <c r="C36" s="239" t="s">
        <v>15</v>
      </c>
      <c r="D36" s="239" t="s">
        <v>15</v>
      </c>
      <c r="E36" s="73">
        <v>1074751</v>
      </c>
      <c r="F36" s="73">
        <v>145381</v>
      </c>
      <c r="G36" s="239" t="s">
        <v>15</v>
      </c>
      <c r="H36" s="239" t="s">
        <v>15</v>
      </c>
      <c r="I36" s="239" t="s">
        <v>15</v>
      </c>
      <c r="J36" s="239" t="s">
        <v>15</v>
      </c>
      <c r="K36" s="239" t="s">
        <v>15</v>
      </c>
      <c r="L36" s="135"/>
      <c r="M36" s="73">
        <f t="shared" si="2"/>
        <v>1220132</v>
      </c>
      <c r="N36" s="2"/>
      <c r="O36" s="265">
        <v>1090.9</v>
      </c>
      <c r="P36" s="2"/>
    </row>
    <row r="37" spans="1:16" ht="12.75">
      <c r="A37" s="264">
        <v>1993</v>
      </c>
      <c r="B37" s="2"/>
      <c r="C37" s="239" t="s">
        <v>15</v>
      </c>
      <c r="D37" s="239" t="s">
        <v>15</v>
      </c>
      <c r="E37" s="73">
        <v>509648</v>
      </c>
      <c r="F37" s="73">
        <v>123540</v>
      </c>
      <c r="G37" s="239" t="s">
        <v>15</v>
      </c>
      <c r="H37" s="239" t="s">
        <v>15</v>
      </c>
      <c r="I37" s="239" t="s">
        <v>15</v>
      </c>
      <c r="J37" s="239" t="s">
        <v>15</v>
      </c>
      <c r="K37" s="239" t="s">
        <v>15</v>
      </c>
      <c r="L37" s="135"/>
      <c r="M37" s="73">
        <f t="shared" si="2"/>
        <v>633188</v>
      </c>
      <c r="N37" s="2"/>
      <c r="O37" s="265">
        <v>563.7</v>
      </c>
      <c r="P37" s="2"/>
    </row>
    <row r="38" spans="1:16" ht="12.75">
      <c r="A38" s="264">
        <v>1994</v>
      </c>
      <c r="B38" s="2"/>
      <c r="C38" s="239" t="s">
        <v>15</v>
      </c>
      <c r="D38" s="239" t="s">
        <v>15</v>
      </c>
      <c r="E38" s="73">
        <v>120853</v>
      </c>
      <c r="F38" s="73">
        <v>75442</v>
      </c>
      <c r="G38" s="239" t="s">
        <v>15</v>
      </c>
      <c r="H38" s="239" t="s">
        <v>15</v>
      </c>
      <c r="I38" s="239" t="s">
        <v>15</v>
      </c>
      <c r="J38" s="239" t="s">
        <v>15</v>
      </c>
      <c r="K38" s="239" t="s">
        <v>15</v>
      </c>
      <c r="L38" s="135"/>
      <c r="M38" s="73">
        <f t="shared" si="2"/>
        <v>196295</v>
      </c>
      <c r="N38" s="2"/>
      <c r="O38" s="265">
        <v>172.9</v>
      </c>
      <c r="P38" s="2"/>
    </row>
    <row r="39" spans="1:16" ht="12.75">
      <c r="A39" s="264">
        <v>1995</v>
      </c>
      <c r="B39" s="2"/>
      <c r="C39" s="239" t="s">
        <v>15</v>
      </c>
      <c r="D39" s="239" t="s">
        <v>15</v>
      </c>
      <c r="E39" s="73">
        <v>25142</v>
      </c>
      <c r="F39" s="73">
        <v>68164</v>
      </c>
      <c r="G39" s="73">
        <v>317375</v>
      </c>
      <c r="H39" s="239" t="s">
        <v>15</v>
      </c>
      <c r="I39" s="239" t="s">
        <v>15</v>
      </c>
      <c r="J39" s="239" t="s">
        <v>15</v>
      </c>
      <c r="K39" s="239" t="s">
        <v>15</v>
      </c>
      <c r="L39" s="135"/>
      <c r="M39" s="73">
        <f aca="true" t="shared" si="3" ref="M39:M48">SUM(C39:L39)</f>
        <v>410681</v>
      </c>
      <c r="N39" s="2"/>
      <c r="O39" s="265">
        <v>366.2</v>
      </c>
      <c r="P39" s="2"/>
    </row>
    <row r="40" spans="1:16" ht="12.75">
      <c r="A40" s="264">
        <v>1996</v>
      </c>
      <c r="B40" s="2"/>
      <c r="C40" s="239" t="s">
        <v>15</v>
      </c>
      <c r="D40" s="239" t="s">
        <v>15</v>
      </c>
      <c r="E40" s="239" t="s">
        <v>15</v>
      </c>
      <c r="F40" s="73">
        <v>51346</v>
      </c>
      <c r="G40" s="73">
        <v>407383</v>
      </c>
      <c r="H40" s="239" t="s">
        <v>15</v>
      </c>
      <c r="I40" s="239" t="s">
        <v>15</v>
      </c>
      <c r="J40" s="239" t="s">
        <v>15</v>
      </c>
      <c r="K40" s="239" t="s">
        <v>15</v>
      </c>
      <c r="L40" s="135"/>
      <c r="M40" s="73">
        <f t="shared" si="3"/>
        <v>458729</v>
      </c>
      <c r="N40" s="2"/>
      <c r="O40" s="265">
        <v>410.3</v>
      </c>
      <c r="P40" s="2"/>
    </row>
    <row r="41" spans="1:16" ht="12.75">
      <c r="A41" s="347">
        <v>1997</v>
      </c>
      <c r="B41" s="2"/>
      <c r="C41" s="348" t="s">
        <v>15</v>
      </c>
      <c r="D41" s="348" t="s">
        <v>15</v>
      </c>
      <c r="E41" s="348" t="s">
        <v>15</v>
      </c>
      <c r="F41" s="136">
        <v>81941</v>
      </c>
      <c r="G41" s="136">
        <v>4030</v>
      </c>
      <c r="H41" s="136">
        <v>86322</v>
      </c>
      <c r="I41" s="239" t="s">
        <v>15</v>
      </c>
      <c r="J41" s="239" t="s">
        <v>15</v>
      </c>
      <c r="K41" s="239" t="s">
        <v>15</v>
      </c>
      <c r="L41" s="136"/>
      <c r="M41" s="73">
        <f t="shared" si="3"/>
        <v>172293</v>
      </c>
      <c r="N41" s="2"/>
      <c r="O41" s="333">
        <v>146.4</v>
      </c>
      <c r="P41" s="2"/>
    </row>
    <row r="42" spans="1:16" ht="12.75">
      <c r="A42" s="264">
        <v>1998</v>
      </c>
      <c r="B42" s="2"/>
      <c r="C42" s="348" t="s">
        <v>15</v>
      </c>
      <c r="D42" s="348" t="s">
        <v>15</v>
      </c>
      <c r="E42" s="348" t="s">
        <v>15</v>
      </c>
      <c r="F42" s="136">
        <v>68988</v>
      </c>
      <c r="G42" s="348" t="s">
        <v>15</v>
      </c>
      <c r="H42" s="239">
        <v>40147</v>
      </c>
      <c r="I42" s="239" t="s">
        <v>15</v>
      </c>
      <c r="J42" s="239" t="s">
        <v>15</v>
      </c>
      <c r="K42" s="239" t="s">
        <v>15</v>
      </c>
      <c r="L42" s="73"/>
      <c r="M42" s="73">
        <f t="shared" si="3"/>
        <v>109135</v>
      </c>
      <c r="N42" s="81"/>
      <c r="O42" s="333">
        <v>93</v>
      </c>
      <c r="P42" s="2"/>
    </row>
    <row r="43" spans="1:16" ht="12.75">
      <c r="A43" s="365">
        <v>1999</v>
      </c>
      <c r="B43" s="2"/>
      <c r="C43" s="366" t="s">
        <v>15</v>
      </c>
      <c r="D43" s="366" t="s">
        <v>15</v>
      </c>
      <c r="E43" s="366" t="s">
        <v>15</v>
      </c>
      <c r="F43" s="341">
        <v>69584</v>
      </c>
      <c r="G43" s="366" t="s">
        <v>15</v>
      </c>
      <c r="H43" s="345">
        <v>57539</v>
      </c>
      <c r="I43" s="345">
        <v>9974</v>
      </c>
      <c r="J43" s="345">
        <v>7627</v>
      </c>
      <c r="K43" s="239" t="s">
        <v>15</v>
      </c>
      <c r="L43" s="344"/>
      <c r="M43" s="344">
        <f t="shared" si="3"/>
        <v>144724</v>
      </c>
      <c r="N43" s="81"/>
      <c r="O43" s="367">
        <f aca="true" t="shared" si="4" ref="O43:O48">ROUND(M43*0.00085,1)</f>
        <v>123</v>
      </c>
      <c r="P43" s="2"/>
    </row>
    <row r="44" spans="1:16" ht="12.75">
      <c r="A44" s="365">
        <v>2000</v>
      </c>
      <c r="B44" s="2"/>
      <c r="C44" s="366" t="s">
        <v>15</v>
      </c>
      <c r="D44" s="366" t="s">
        <v>15</v>
      </c>
      <c r="E44" s="366" t="s">
        <v>15</v>
      </c>
      <c r="F44" s="341">
        <v>63975</v>
      </c>
      <c r="G44" s="366" t="s">
        <v>15</v>
      </c>
      <c r="H44" s="345">
        <v>89859</v>
      </c>
      <c r="I44" s="345">
        <v>6595</v>
      </c>
      <c r="J44" s="345">
        <v>14107</v>
      </c>
      <c r="K44" s="239" t="s">
        <v>15</v>
      </c>
      <c r="L44" s="344"/>
      <c r="M44" s="344">
        <f t="shared" si="3"/>
        <v>174536</v>
      </c>
      <c r="N44" s="81"/>
      <c r="O44" s="367">
        <f t="shared" si="4"/>
        <v>148.4</v>
      </c>
      <c r="P44" s="2"/>
    </row>
    <row r="45" spans="1:15" ht="12.75">
      <c r="A45" s="365">
        <v>2001</v>
      </c>
      <c r="B45" s="2"/>
      <c r="C45" s="366" t="s">
        <v>15</v>
      </c>
      <c r="D45" s="366" t="s">
        <v>15</v>
      </c>
      <c r="E45" s="366" t="s">
        <v>15</v>
      </c>
      <c r="F45" s="341">
        <v>38721</v>
      </c>
      <c r="G45" s="366" t="s">
        <v>15</v>
      </c>
      <c r="H45" s="345">
        <v>492551</v>
      </c>
      <c r="I45" s="345">
        <v>6999</v>
      </c>
      <c r="J45" s="345">
        <v>13920</v>
      </c>
      <c r="K45" s="239" t="s">
        <v>15</v>
      </c>
      <c r="L45" s="344"/>
      <c r="M45" s="344">
        <f t="shared" si="3"/>
        <v>552191</v>
      </c>
      <c r="N45" s="81"/>
      <c r="O45" s="367">
        <f t="shared" si="4"/>
        <v>469.4</v>
      </c>
    </row>
    <row r="46" spans="1:15" ht="12.75">
      <c r="A46" s="430">
        <v>2002</v>
      </c>
      <c r="B46" s="2"/>
      <c r="C46" s="366" t="s">
        <v>15</v>
      </c>
      <c r="D46" s="366" t="s">
        <v>15</v>
      </c>
      <c r="E46" s="366" t="s">
        <v>15</v>
      </c>
      <c r="F46" s="341">
        <v>24290</v>
      </c>
      <c r="G46" s="366" t="s">
        <v>15</v>
      </c>
      <c r="H46" s="345">
        <v>503713</v>
      </c>
      <c r="I46" s="345">
        <v>6197</v>
      </c>
      <c r="J46" s="345">
        <v>11304</v>
      </c>
      <c r="K46" s="345">
        <v>12112</v>
      </c>
      <c r="L46" s="344"/>
      <c r="M46" s="344">
        <f t="shared" si="3"/>
        <v>557616</v>
      </c>
      <c r="N46" s="81"/>
      <c r="O46" s="367">
        <f t="shared" si="4"/>
        <v>474</v>
      </c>
    </row>
    <row r="47" spans="1:15" ht="12.75">
      <c r="A47" s="430">
        <v>2003</v>
      </c>
      <c r="B47" s="2"/>
      <c r="C47" s="366" t="s">
        <v>15</v>
      </c>
      <c r="D47" s="366" t="s">
        <v>15</v>
      </c>
      <c r="E47" s="366" t="s">
        <v>15</v>
      </c>
      <c r="F47" s="341">
        <v>51281</v>
      </c>
      <c r="G47" s="366" t="s">
        <v>15</v>
      </c>
      <c r="H47" s="345">
        <v>177933</v>
      </c>
      <c r="I47" s="345">
        <v>5377</v>
      </c>
      <c r="J47" s="345">
        <v>12948</v>
      </c>
      <c r="K47" s="345">
        <v>15845</v>
      </c>
      <c r="L47" s="344"/>
      <c r="M47" s="344">
        <f t="shared" si="3"/>
        <v>263384</v>
      </c>
      <c r="N47" s="81"/>
      <c r="O47" s="367">
        <f t="shared" si="4"/>
        <v>223.9</v>
      </c>
    </row>
    <row r="48" spans="1:15" ht="13.5" thickBot="1">
      <c r="A48" s="354">
        <v>2004</v>
      </c>
      <c r="B48" s="71"/>
      <c r="C48" s="254" t="s">
        <v>15</v>
      </c>
      <c r="D48" s="254" t="s">
        <v>15</v>
      </c>
      <c r="E48" s="254" t="s">
        <v>15</v>
      </c>
      <c r="F48" s="71">
        <v>19795</v>
      </c>
      <c r="G48" s="254" t="s">
        <v>15</v>
      </c>
      <c r="H48" s="71">
        <v>316477</v>
      </c>
      <c r="I48" s="71">
        <v>5452</v>
      </c>
      <c r="J48" s="71">
        <v>6321</v>
      </c>
      <c r="K48" s="71">
        <v>16819</v>
      </c>
      <c r="L48" s="71"/>
      <c r="M48" s="431">
        <f t="shared" si="3"/>
        <v>364864</v>
      </c>
      <c r="N48" s="71"/>
      <c r="O48" s="368">
        <f t="shared" si="4"/>
        <v>310.1</v>
      </c>
    </row>
    <row r="49" spans="1:15" ht="13.5" thickTop="1">
      <c r="A49" s="230"/>
      <c r="B49" s="2"/>
      <c r="C49" s="335"/>
      <c r="D49" s="335"/>
      <c r="E49" s="335"/>
      <c r="F49" s="2"/>
      <c r="G49" s="335"/>
      <c r="H49" s="2"/>
      <c r="I49" s="2"/>
      <c r="J49" s="2"/>
      <c r="K49" s="2"/>
      <c r="L49" s="2"/>
      <c r="M49" s="3"/>
      <c r="N49" s="2"/>
      <c r="O49" s="81"/>
    </row>
    <row r="50" spans="1:15" ht="12.75">
      <c r="A50" s="230"/>
      <c r="B50" s="2"/>
      <c r="C50" s="335"/>
      <c r="D50" s="335"/>
      <c r="E50" s="335"/>
      <c r="F50" s="2"/>
      <c r="G50" s="2"/>
      <c r="H50" s="2"/>
      <c r="I50" s="2"/>
      <c r="J50" s="2"/>
      <c r="K50" s="2"/>
      <c r="L50" s="2"/>
      <c r="M50" s="3"/>
      <c r="N50" s="2"/>
      <c r="O50" s="81"/>
    </row>
    <row r="51" spans="6:7" ht="12.75">
      <c r="F51" s="131"/>
      <c r="G51" s="131"/>
    </row>
    <row r="137" ht="12.75">
      <c r="A137" s="231"/>
    </row>
  </sheetData>
  <printOptions horizontalCentered="1"/>
  <pageMargins left="0.3937007874015748" right="0.3937007874015748" top="0.3937007874015748" bottom="0.5905511811023623" header="0.1968503937007874" footer="0.1968503937007874"/>
  <pageSetup fitToHeight="1" fitToWidth="1" horizontalDpi="300" verticalDpi="300" orientation="landscape" paperSize="9" scale="86" r:id="rId2"/>
  <headerFooter alignWithMargins="0">
    <oddFooter>&amp;C&amp;9 3.10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workbookViewId="0" topLeftCell="D1">
      <pane ySplit="5" topLeftCell="BM31" activePane="bottomLeft" state="frozen"/>
      <selection pane="topLeft" activeCell="A1" sqref="A1"/>
      <selection pane="bottomLeft" activeCell="G44" sqref="G44"/>
    </sheetView>
  </sheetViews>
  <sheetFormatPr defaultColWidth="12.57421875" defaultRowHeight="12.75"/>
  <cols>
    <col min="1" max="1" width="7.7109375" style="234" customWidth="1"/>
    <col min="2" max="2" width="1.7109375" style="80" customWidth="1"/>
    <col min="3" max="3" width="45.7109375" style="80" customWidth="1"/>
    <col min="4" max="4" width="1.7109375" style="80" customWidth="1"/>
    <col min="5" max="5" width="45.7109375" style="80" customWidth="1"/>
    <col min="6" max="6" width="1.7109375" style="80" customWidth="1"/>
    <col min="7" max="7" width="45.7109375" style="80" customWidth="1"/>
    <col min="8" max="16384" width="12.57421875" style="80" customWidth="1"/>
  </cols>
  <sheetData>
    <row r="1" spans="1:2" ht="15.75">
      <c r="A1" s="268" t="s">
        <v>68</v>
      </c>
      <c r="B1" s="269" t="s">
        <v>146</v>
      </c>
    </row>
    <row r="2" spans="1:2" ht="15.75">
      <c r="A2"/>
      <c r="B2" s="270"/>
    </row>
    <row r="3" ht="13.5" thickBot="1"/>
    <row r="4" spans="1:7" ht="13.5" thickTop="1">
      <c r="A4" s="272" t="s">
        <v>60</v>
      </c>
      <c r="B4" s="266"/>
      <c r="C4" s="267" t="s">
        <v>147</v>
      </c>
      <c r="D4" s="266"/>
      <c r="E4" s="267" t="s">
        <v>69</v>
      </c>
      <c r="F4" s="266"/>
      <c r="G4" s="273" t="s">
        <v>14</v>
      </c>
    </row>
    <row r="5" spans="1:7" ht="12.75">
      <c r="A5" s="249" t="s">
        <v>61</v>
      </c>
      <c r="B5" s="256"/>
      <c r="C5" s="257" t="s">
        <v>175</v>
      </c>
      <c r="D5" s="256"/>
      <c r="E5" s="257" t="s">
        <v>176</v>
      </c>
      <c r="F5" s="256"/>
      <c r="G5" s="263" t="s">
        <v>176</v>
      </c>
    </row>
    <row r="6" spans="1:7" ht="12.75">
      <c r="A6" s="251">
        <v>1963</v>
      </c>
      <c r="B6" s="94"/>
      <c r="C6" s="271">
        <v>0</v>
      </c>
      <c r="D6" s="84"/>
      <c r="E6" s="180">
        <v>3.816</v>
      </c>
      <c r="F6" s="84"/>
      <c r="G6" s="265">
        <f>C6+E6</f>
        <v>3.816</v>
      </c>
    </row>
    <row r="7" spans="1:7" ht="12.75">
      <c r="A7" s="251">
        <v>1964</v>
      </c>
      <c r="B7" s="100"/>
      <c r="C7" s="271">
        <v>0</v>
      </c>
      <c r="D7" s="5"/>
      <c r="E7" s="180">
        <v>2.475</v>
      </c>
      <c r="F7" s="5"/>
      <c r="G7" s="265">
        <f aca="true" t="shared" si="0" ref="G7:G22">E7+C7</f>
        <v>2.475</v>
      </c>
    </row>
    <row r="8" spans="1:7" ht="12.75">
      <c r="A8" s="251">
        <v>1965</v>
      </c>
      <c r="B8" s="100"/>
      <c r="C8" s="271">
        <v>0</v>
      </c>
      <c r="D8" s="5"/>
      <c r="E8" s="180">
        <v>2.474</v>
      </c>
      <c r="F8" s="5"/>
      <c r="G8" s="265">
        <f t="shared" si="0"/>
        <v>2.474</v>
      </c>
    </row>
    <row r="9" spans="1:7" ht="12.75">
      <c r="A9" s="251">
        <v>1966</v>
      </c>
      <c r="B9" s="100"/>
      <c r="C9" s="180">
        <v>4</v>
      </c>
      <c r="D9" s="5"/>
      <c r="E9" s="180">
        <v>2.475</v>
      </c>
      <c r="F9" s="5"/>
      <c r="G9" s="265">
        <f t="shared" si="0"/>
        <v>6.475</v>
      </c>
    </row>
    <row r="10" spans="1:7" ht="12.75">
      <c r="A10" s="251">
        <v>1967</v>
      </c>
      <c r="B10" s="100"/>
      <c r="C10" s="180">
        <v>110</v>
      </c>
      <c r="D10" s="5"/>
      <c r="E10" s="180">
        <v>2.475</v>
      </c>
      <c r="F10" s="5"/>
      <c r="G10" s="265">
        <f t="shared" si="0"/>
        <v>112.475</v>
      </c>
    </row>
    <row r="11" spans="1:7" ht="12.75">
      <c r="A11" s="251">
        <v>1968</v>
      </c>
      <c r="B11" s="100"/>
      <c r="C11" s="180">
        <v>110</v>
      </c>
      <c r="D11" s="5"/>
      <c r="E11" s="180">
        <v>2.474</v>
      </c>
      <c r="F11" s="5"/>
      <c r="G11" s="265">
        <f t="shared" si="0"/>
        <v>112.474</v>
      </c>
    </row>
    <row r="12" spans="1:7" ht="12.75">
      <c r="A12" s="251">
        <v>1969</v>
      </c>
      <c r="B12" s="100"/>
      <c r="C12" s="180">
        <v>193</v>
      </c>
      <c r="D12" s="5"/>
      <c r="E12" s="180">
        <v>2.476</v>
      </c>
      <c r="F12" s="5"/>
      <c r="G12" s="265">
        <f t="shared" si="0"/>
        <v>195.476</v>
      </c>
    </row>
    <row r="13" spans="1:7" ht="12.75">
      <c r="A13" s="251">
        <v>1970</v>
      </c>
      <c r="B13" s="100"/>
      <c r="C13" s="180">
        <v>156</v>
      </c>
      <c r="D13" s="5"/>
      <c r="E13" s="180">
        <v>1.749</v>
      </c>
      <c r="F13" s="5"/>
      <c r="G13" s="265">
        <f t="shared" si="0"/>
        <v>157.749</v>
      </c>
    </row>
    <row r="14" spans="1:7" ht="12.75">
      <c r="A14" s="251">
        <v>1971</v>
      </c>
      <c r="B14" s="100"/>
      <c r="C14" s="180">
        <v>126</v>
      </c>
      <c r="D14" s="5"/>
      <c r="E14" s="180">
        <v>2.038</v>
      </c>
      <c r="F14" s="5"/>
      <c r="G14" s="265">
        <f t="shared" si="0"/>
        <v>128.038</v>
      </c>
    </row>
    <row r="15" spans="1:7" ht="12.75">
      <c r="A15" s="251">
        <v>1972</v>
      </c>
      <c r="B15" s="100"/>
      <c r="C15" s="180">
        <v>138</v>
      </c>
      <c r="D15" s="5"/>
      <c r="E15" s="180">
        <v>1.926</v>
      </c>
      <c r="F15" s="5"/>
      <c r="G15" s="265">
        <f t="shared" si="0"/>
        <v>139.926</v>
      </c>
    </row>
    <row r="16" spans="1:7" ht="12.75">
      <c r="A16" s="251">
        <v>1973</v>
      </c>
      <c r="B16" s="100"/>
      <c r="C16" s="180">
        <v>764</v>
      </c>
      <c r="D16" s="5"/>
      <c r="E16" s="180">
        <v>1.528</v>
      </c>
      <c r="F16" s="5"/>
      <c r="G16" s="265">
        <f t="shared" si="0"/>
        <v>765.528</v>
      </c>
    </row>
    <row r="17" spans="1:7" ht="12.75">
      <c r="A17" s="251">
        <v>1974</v>
      </c>
      <c r="B17" s="100"/>
      <c r="C17" s="180">
        <v>1976</v>
      </c>
      <c r="D17" s="5"/>
      <c r="E17" s="180">
        <v>1.408</v>
      </c>
      <c r="F17" s="5"/>
      <c r="G17" s="265">
        <f t="shared" si="0"/>
        <v>1977.408</v>
      </c>
    </row>
    <row r="18" spans="1:7" ht="12.75">
      <c r="A18" s="251">
        <v>1975</v>
      </c>
      <c r="B18" s="100"/>
      <c r="C18" s="180">
        <v>2027</v>
      </c>
      <c r="D18" s="5"/>
      <c r="E18" s="180">
        <v>1.163</v>
      </c>
      <c r="F18" s="5"/>
      <c r="G18" s="265">
        <f t="shared" si="0"/>
        <v>2028.163</v>
      </c>
    </row>
    <row r="19" spans="1:7" ht="12.75">
      <c r="A19" s="251">
        <v>1976</v>
      </c>
      <c r="B19" s="100"/>
      <c r="C19" s="180">
        <v>1772</v>
      </c>
      <c r="D19" s="5"/>
      <c r="E19" s="180">
        <v>1.25</v>
      </c>
      <c r="F19" s="5"/>
      <c r="G19" s="265">
        <f t="shared" si="0"/>
        <v>1773.25</v>
      </c>
    </row>
    <row r="20" spans="1:7" ht="12.75">
      <c r="A20" s="251">
        <v>1977</v>
      </c>
      <c r="B20" s="100"/>
      <c r="C20" s="180">
        <v>982</v>
      </c>
      <c r="D20" s="5"/>
      <c r="E20" s="180">
        <v>0.897</v>
      </c>
      <c r="F20" s="5"/>
      <c r="G20" s="265">
        <f t="shared" si="0"/>
        <v>982.897</v>
      </c>
    </row>
    <row r="21" spans="1:7" ht="12.75">
      <c r="A21" s="251">
        <v>1978</v>
      </c>
      <c r="B21" s="100"/>
      <c r="C21" s="180">
        <v>980</v>
      </c>
      <c r="D21" s="5"/>
      <c r="E21" s="180">
        <v>0.537</v>
      </c>
      <c r="F21" s="5"/>
      <c r="G21" s="265">
        <f t="shared" si="0"/>
        <v>980.537</v>
      </c>
    </row>
    <row r="22" spans="1:7" ht="12.75">
      <c r="A22" s="251">
        <v>1979</v>
      </c>
      <c r="B22" s="100"/>
      <c r="C22" s="180">
        <v>1159</v>
      </c>
      <c r="D22" s="5"/>
      <c r="E22" s="180">
        <v>0.618</v>
      </c>
      <c r="F22" s="5"/>
      <c r="G22" s="265">
        <f t="shared" si="0"/>
        <v>1159.618</v>
      </c>
    </row>
    <row r="23" spans="1:7" ht="12.75">
      <c r="A23" s="251">
        <v>1980</v>
      </c>
      <c r="B23" s="100"/>
      <c r="C23" s="180">
        <v>1594</v>
      </c>
      <c r="D23" s="5"/>
      <c r="E23" s="180">
        <v>0.624</v>
      </c>
      <c r="F23" s="5"/>
      <c r="G23" s="265">
        <f aca="true" t="shared" si="1" ref="G23:G46">E23+C23</f>
        <v>1594.624</v>
      </c>
    </row>
    <row r="24" spans="1:7" ht="12.75">
      <c r="A24" s="251">
        <v>1981</v>
      </c>
      <c r="B24" s="100"/>
      <c r="C24" s="180">
        <v>1226</v>
      </c>
      <c r="D24" s="5"/>
      <c r="E24" s="180">
        <v>0.318</v>
      </c>
      <c r="F24" s="5"/>
      <c r="G24" s="265">
        <f t="shared" si="1"/>
        <v>1226.318</v>
      </c>
    </row>
    <row r="25" spans="1:7" ht="12.75">
      <c r="A25" s="251">
        <v>1982</v>
      </c>
      <c r="B25" s="100"/>
      <c r="C25" s="180">
        <v>1530</v>
      </c>
      <c r="D25" s="5"/>
      <c r="E25" s="180">
        <v>0</v>
      </c>
      <c r="F25" s="5"/>
      <c r="G25" s="265">
        <f t="shared" si="1"/>
        <v>1530</v>
      </c>
    </row>
    <row r="26" spans="1:7" ht="12.75">
      <c r="A26" s="251">
        <v>1983</v>
      </c>
      <c r="B26" s="100"/>
      <c r="C26" s="180">
        <v>2977</v>
      </c>
      <c r="D26" s="5"/>
      <c r="E26" s="180">
        <v>0</v>
      </c>
      <c r="F26" s="5"/>
      <c r="G26" s="265">
        <f t="shared" si="1"/>
        <v>2977</v>
      </c>
    </row>
    <row r="27" spans="1:7" ht="12.75">
      <c r="A27" s="251">
        <v>1984</v>
      </c>
      <c r="B27" s="100"/>
      <c r="C27" s="180">
        <v>2316</v>
      </c>
      <c r="D27" s="5"/>
      <c r="E27" s="180">
        <v>164</v>
      </c>
      <c r="F27" s="5"/>
      <c r="G27" s="265">
        <f t="shared" si="1"/>
        <v>2480</v>
      </c>
    </row>
    <row r="28" spans="1:7" ht="12.75">
      <c r="A28" s="251">
        <v>1985</v>
      </c>
      <c r="B28" s="100"/>
      <c r="C28" s="180">
        <v>2183</v>
      </c>
      <c r="D28" s="5"/>
      <c r="E28" s="180">
        <v>230</v>
      </c>
      <c r="F28" s="5"/>
      <c r="G28" s="265">
        <f t="shared" si="1"/>
        <v>2413</v>
      </c>
    </row>
    <row r="29" spans="1:7" ht="12.75">
      <c r="A29" s="251">
        <v>1986</v>
      </c>
      <c r="B29" s="100"/>
      <c r="C29" s="180">
        <v>1858</v>
      </c>
      <c r="D29" s="5"/>
      <c r="E29" s="180">
        <v>321</v>
      </c>
      <c r="F29" s="5"/>
      <c r="G29" s="265">
        <f t="shared" si="1"/>
        <v>2179</v>
      </c>
    </row>
    <row r="30" spans="1:7" ht="12.75">
      <c r="A30" s="251">
        <v>1987</v>
      </c>
      <c r="B30" s="100"/>
      <c r="C30" s="180">
        <v>1642</v>
      </c>
      <c r="D30" s="5"/>
      <c r="E30" s="180">
        <v>696</v>
      </c>
      <c r="F30" s="5"/>
      <c r="G30" s="265">
        <f t="shared" si="1"/>
        <v>2338</v>
      </c>
    </row>
    <row r="31" spans="1:7" ht="12.75">
      <c r="A31" s="251">
        <v>1988</v>
      </c>
      <c r="B31" s="100"/>
      <c r="C31" s="180">
        <v>1483</v>
      </c>
      <c r="D31" s="5"/>
      <c r="E31" s="180">
        <v>910</v>
      </c>
      <c r="F31" s="5"/>
      <c r="G31" s="265">
        <f t="shared" si="1"/>
        <v>2393</v>
      </c>
    </row>
    <row r="32" spans="1:7" ht="12.75">
      <c r="A32" s="251">
        <v>1989</v>
      </c>
      <c r="B32" s="100"/>
      <c r="C32" s="180">
        <v>1037</v>
      </c>
      <c r="D32" s="5"/>
      <c r="E32" s="180">
        <v>1527</v>
      </c>
      <c r="F32" s="5"/>
      <c r="G32" s="265">
        <f t="shared" si="1"/>
        <v>2564</v>
      </c>
    </row>
    <row r="33" spans="1:7" ht="12.75">
      <c r="A33" s="251">
        <v>1990</v>
      </c>
      <c r="B33" s="100"/>
      <c r="C33" s="180">
        <v>796</v>
      </c>
      <c r="D33" s="5"/>
      <c r="E33" s="180">
        <v>1182.8</v>
      </c>
      <c r="F33" s="5"/>
      <c r="G33" s="265">
        <f t="shared" si="1"/>
        <v>1978.8</v>
      </c>
    </row>
    <row r="34" spans="1:7" ht="12.75">
      <c r="A34" s="251">
        <v>1991</v>
      </c>
      <c r="B34" s="100"/>
      <c r="C34" s="180">
        <v>1067</v>
      </c>
      <c r="D34" s="5"/>
      <c r="E34" s="180">
        <v>1191.9</v>
      </c>
      <c r="F34" s="5"/>
      <c r="G34" s="265">
        <f t="shared" si="1"/>
        <v>2258.9</v>
      </c>
    </row>
    <row r="35" spans="1:7" ht="12.75">
      <c r="A35" s="251">
        <v>1992</v>
      </c>
      <c r="B35" s="100"/>
      <c r="C35" s="180">
        <v>1072</v>
      </c>
      <c r="D35" s="5"/>
      <c r="E35" s="180">
        <v>1090.9</v>
      </c>
      <c r="F35" s="5"/>
      <c r="G35" s="265">
        <f t="shared" si="1"/>
        <v>2162.9</v>
      </c>
    </row>
    <row r="36" spans="1:7" ht="12.75">
      <c r="A36" s="251">
        <v>1993</v>
      </c>
      <c r="B36" s="100"/>
      <c r="C36" s="180">
        <v>875</v>
      </c>
      <c r="D36" s="5"/>
      <c r="E36" s="180">
        <v>563.7</v>
      </c>
      <c r="F36" s="5"/>
      <c r="G36" s="265">
        <f t="shared" si="1"/>
        <v>1438.7</v>
      </c>
    </row>
    <row r="37" spans="1:7" ht="12.75">
      <c r="A37" s="251">
        <v>1994</v>
      </c>
      <c r="B37" s="100"/>
      <c r="C37" s="180">
        <v>807</v>
      </c>
      <c r="D37" s="5"/>
      <c r="E37" s="180">
        <v>172.9</v>
      </c>
      <c r="F37" s="5"/>
      <c r="G37" s="265">
        <f t="shared" si="1"/>
        <v>979.9</v>
      </c>
    </row>
    <row r="38" spans="1:7" ht="12.75">
      <c r="A38" s="251">
        <v>1995</v>
      </c>
      <c r="B38" s="100"/>
      <c r="C38" s="180">
        <v>652</v>
      </c>
      <c r="D38" s="5"/>
      <c r="E38" s="180">
        <v>366.2</v>
      </c>
      <c r="F38" s="5"/>
      <c r="G38" s="265">
        <f t="shared" si="1"/>
        <v>1018.2</v>
      </c>
    </row>
    <row r="39" spans="1:7" ht="12.75">
      <c r="A39" s="251">
        <v>1996</v>
      </c>
      <c r="B39" s="100"/>
      <c r="C39" s="180">
        <v>516</v>
      </c>
      <c r="D39" s="5"/>
      <c r="E39" s="180">
        <v>410.3</v>
      </c>
      <c r="F39" s="5"/>
      <c r="G39" s="265">
        <f t="shared" si="1"/>
        <v>926.3</v>
      </c>
    </row>
    <row r="40" spans="1:7" ht="12.75">
      <c r="A40" s="349">
        <v>1997</v>
      </c>
      <c r="B40" s="350"/>
      <c r="C40" s="350">
        <v>377.3</v>
      </c>
      <c r="D40" s="81"/>
      <c r="E40" s="350">
        <v>146.4</v>
      </c>
      <c r="F40" s="81"/>
      <c r="G40" s="351">
        <f>E40+C40</f>
        <v>523.7</v>
      </c>
    </row>
    <row r="41" spans="1:7" ht="12.75">
      <c r="A41" s="349">
        <v>1998</v>
      </c>
      <c r="B41" s="350"/>
      <c r="C41" s="350">
        <v>531.5</v>
      </c>
      <c r="D41" s="81"/>
      <c r="E41" s="350">
        <v>92.8</v>
      </c>
      <c r="F41" s="81"/>
      <c r="G41" s="351">
        <f>E41+C41</f>
        <v>624.3</v>
      </c>
    </row>
    <row r="42" spans="1:7" ht="12.75">
      <c r="A42" s="349">
        <v>1999</v>
      </c>
      <c r="B42" s="350"/>
      <c r="C42" s="350">
        <v>300</v>
      </c>
      <c r="D42" s="81"/>
      <c r="E42" s="350">
        <v>123</v>
      </c>
      <c r="F42" s="81"/>
      <c r="G42" s="351">
        <f>E42+C42</f>
        <v>423</v>
      </c>
    </row>
    <row r="43" spans="1:7" ht="12.75">
      <c r="A43" s="349">
        <v>2000</v>
      </c>
      <c r="B43" s="350"/>
      <c r="C43" s="350">
        <v>228.7</v>
      </c>
      <c r="D43" s="81"/>
      <c r="E43" s="350">
        <v>148.4</v>
      </c>
      <c r="F43" s="81"/>
      <c r="G43" s="351">
        <f>E43+C43</f>
        <v>377.1</v>
      </c>
    </row>
    <row r="44" spans="1:7" ht="12.75">
      <c r="A44" s="349">
        <v>2001</v>
      </c>
      <c r="B44" s="350"/>
      <c r="C44" s="350">
        <v>337.6</v>
      </c>
      <c r="D44" s="81"/>
      <c r="E44" s="350">
        <v>469.4</v>
      </c>
      <c r="F44" s="81"/>
      <c r="G44" s="351">
        <f t="shared" si="1"/>
        <v>807</v>
      </c>
    </row>
    <row r="45" spans="1:7" ht="12.75">
      <c r="A45" s="349">
        <v>2002</v>
      </c>
      <c r="B45" s="350"/>
      <c r="C45" s="350">
        <v>316.3</v>
      </c>
      <c r="D45" s="81"/>
      <c r="E45" s="350">
        <v>474</v>
      </c>
      <c r="F45" s="81"/>
      <c r="G45" s="351">
        <f t="shared" si="1"/>
        <v>790.3</v>
      </c>
    </row>
    <row r="46" spans="1:7" ht="12.75">
      <c r="A46" s="349">
        <v>2003</v>
      </c>
      <c r="B46" s="350"/>
      <c r="C46" s="350">
        <v>320.6</v>
      </c>
      <c r="D46" s="81"/>
      <c r="E46" s="350">
        <v>223.9</v>
      </c>
      <c r="F46" s="81"/>
      <c r="G46" s="351">
        <f t="shared" si="1"/>
        <v>544.5</v>
      </c>
    </row>
    <row r="47" spans="1:7" ht="13.5" thickBot="1">
      <c r="A47" s="253">
        <v>2004</v>
      </c>
      <c r="B47" s="118"/>
      <c r="C47" s="118">
        <v>254.548</v>
      </c>
      <c r="D47" s="118"/>
      <c r="E47" s="118">
        <v>310.1</v>
      </c>
      <c r="F47" s="118"/>
      <c r="G47" s="274">
        <f>E47+C47</f>
        <v>564.648</v>
      </c>
    </row>
    <row r="48" ht="13.5" thickTop="1"/>
    <row r="85" ht="12.75">
      <c r="A85" s="233"/>
    </row>
  </sheetData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300" verticalDpi="300" orientation="landscape" paperSize="9" scale="86" r:id="rId2"/>
  <headerFooter alignWithMargins="0">
    <oddFooter>&amp;C&amp;9 3.11&amp;R&amp;9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46">
      <selection activeCell="H63" sqref="H63"/>
    </sheetView>
  </sheetViews>
  <sheetFormatPr defaultColWidth="12.57421875" defaultRowHeight="12.75"/>
  <cols>
    <col min="1" max="1" width="5.7109375" style="276" customWidth="1"/>
    <col min="2" max="2" width="22.421875" style="276" customWidth="1"/>
    <col min="3" max="3" width="5.7109375" style="276" customWidth="1"/>
    <col min="4" max="5" width="14.7109375" style="276" customWidth="1"/>
    <col min="6" max="6" width="14.7109375" style="282" customWidth="1"/>
    <col min="7" max="7" width="15.140625" style="276" customWidth="1"/>
    <col min="8" max="16384" width="12.57421875" style="276" customWidth="1"/>
  </cols>
  <sheetData>
    <row r="1" spans="1:3" ht="15.75">
      <c r="A1" s="288" t="s">
        <v>70</v>
      </c>
      <c r="B1" s="284" t="s">
        <v>177</v>
      </c>
      <c r="C1" s="284"/>
    </row>
    <row r="2" spans="2:3" ht="15.75">
      <c r="B2" s="284" t="s">
        <v>178</v>
      </c>
      <c r="C2" s="284"/>
    </row>
    <row r="4" ht="12.75">
      <c r="G4" s="277"/>
    </row>
    <row r="5" ht="13.5" thickBot="1">
      <c r="G5" s="277"/>
    </row>
    <row r="6" spans="2:6" ht="13.5" thickTop="1">
      <c r="B6" s="291"/>
      <c r="C6" s="302"/>
      <c r="D6" s="292" t="s">
        <v>71</v>
      </c>
      <c r="E6" s="293" t="s">
        <v>179</v>
      </c>
      <c r="F6" s="294"/>
    </row>
    <row r="7" spans="2:7" ht="12.75">
      <c r="B7" s="295" t="s">
        <v>72</v>
      </c>
      <c r="C7" s="287"/>
      <c r="D7" s="290">
        <v>2003</v>
      </c>
      <c r="E7" s="290">
        <v>2004</v>
      </c>
      <c r="F7" s="296" t="s">
        <v>73</v>
      </c>
      <c r="G7" s="277"/>
    </row>
    <row r="8" spans="2:6" ht="12.75">
      <c r="B8" s="297"/>
      <c r="C8" s="278"/>
      <c r="D8" s="278"/>
      <c r="E8" s="278"/>
      <c r="F8" s="298"/>
    </row>
    <row r="9" spans="2:6" ht="12.75">
      <c r="B9" s="299" t="s">
        <v>74</v>
      </c>
      <c r="C9" s="289"/>
      <c r="F9" s="144"/>
    </row>
    <row r="10" spans="2:6" ht="12.75">
      <c r="B10" s="297"/>
      <c r="C10" s="278"/>
      <c r="F10" s="144"/>
    </row>
    <row r="11" spans="2:7" ht="12.75">
      <c r="B11" s="304" t="s">
        <v>75</v>
      </c>
      <c r="C11" s="305"/>
      <c r="D11" s="306">
        <v>7297</v>
      </c>
      <c r="E11" s="306">
        <v>6353</v>
      </c>
      <c r="F11" s="307">
        <f>((-D11+E11)/D11)*100</f>
        <v>-12.93682335206249</v>
      </c>
      <c r="G11" s="279"/>
    </row>
    <row r="12" spans="2:7" ht="38.25">
      <c r="B12" s="308" t="s">
        <v>180</v>
      </c>
      <c r="C12" s="309"/>
      <c r="D12" s="310">
        <v>229734</v>
      </c>
      <c r="E12" s="310">
        <v>173116</v>
      </c>
      <c r="F12" s="311">
        <f>((-D12+E12)/D12)*100</f>
        <v>-24.645024245431674</v>
      </c>
      <c r="G12" s="279"/>
    </row>
    <row r="13" spans="2:6" ht="12.75">
      <c r="B13" s="304" t="s">
        <v>11</v>
      </c>
      <c r="C13" s="305"/>
      <c r="D13" s="310">
        <v>63159</v>
      </c>
      <c r="E13" s="310">
        <v>54551</v>
      </c>
      <c r="F13" s="311">
        <f>((-D13+E13)/D13)*100</f>
        <v>-13.62909482417391</v>
      </c>
    </row>
    <row r="14" spans="2:6" ht="25.5">
      <c r="B14" s="308" t="s">
        <v>181</v>
      </c>
      <c r="C14" s="305"/>
      <c r="D14" s="310">
        <v>20365</v>
      </c>
      <c r="E14" s="310">
        <v>20528</v>
      </c>
      <c r="F14" s="311">
        <f>((-D14+E14)/D14)*100</f>
        <v>0.8003928308372207</v>
      </c>
    </row>
    <row r="15" spans="2:7" ht="12.75">
      <c r="B15" s="312" t="s">
        <v>76</v>
      </c>
      <c r="C15" s="313"/>
      <c r="D15" s="314">
        <f>SUM(D11:D14)</f>
        <v>320555</v>
      </c>
      <c r="E15" s="314">
        <f>SUM(E11:E14)</f>
        <v>254548</v>
      </c>
      <c r="F15" s="315">
        <f>((-D15+E15)/D15)*100</f>
        <v>-20.59147416200028</v>
      </c>
      <c r="G15" s="279"/>
    </row>
    <row r="16" spans="2:7" ht="12.75">
      <c r="B16" s="97"/>
      <c r="C16" s="285"/>
      <c r="D16" s="280"/>
      <c r="E16" s="280"/>
      <c r="F16" s="96"/>
      <c r="G16" s="279"/>
    </row>
    <row r="17" spans="2:7" ht="12.75">
      <c r="B17" s="297"/>
      <c r="C17" s="278"/>
      <c r="D17" s="278"/>
      <c r="E17" s="278"/>
      <c r="F17" s="96"/>
      <c r="G17" s="279"/>
    </row>
    <row r="18" spans="2:7" ht="12.75">
      <c r="B18" s="299" t="s">
        <v>77</v>
      </c>
      <c r="C18" s="289"/>
      <c r="F18" s="122"/>
      <c r="G18" s="279"/>
    </row>
    <row r="19" spans="2:7" ht="12.75">
      <c r="B19" s="297"/>
      <c r="C19" s="278"/>
      <c r="F19" s="122"/>
      <c r="G19" s="279"/>
    </row>
    <row r="20" spans="2:7" ht="12.75">
      <c r="B20" s="304" t="s">
        <v>78</v>
      </c>
      <c r="C20" s="305"/>
      <c r="D20" s="310">
        <v>43589.2</v>
      </c>
      <c r="E20" s="310">
        <v>16825.5</v>
      </c>
      <c r="F20" s="311">
        <f>((-D20+E20)/D20)*100</f>
        <v>-61.39984216273756</v>
      </c>
      <c r="G20" s="279"/>
    </row>
    <row r="21" spans="2:6" ht="12.75">
      <c r="B21" s="304" t="s">
        <v>148</v>
      </c>
      <c r="C21" s="305"/>
      <c r="D21" s="310">
        <v>151243.1</v>
      </c>
      <c r="E21" s="310">
        <v>269005</v>
      </c>
      <c r="F21" s="311">
        <f>((-D21+E21)/D21)*100</f>
        <v>77.86265951967395</v>
      </c>
    </row>
    <row r="22" spans="2:6" ht="12.75">
      <c r="B22" s="304" t="s">
        <v>95</v>
      </c>
      <c r="C22" s="305"/>
      <c r="D22" s="310">
        <v>4570.8</v>
      </c>
      <c r="E22" s="310">
        <v>4634.1</v>
      </c>
      <c r="F22" s="311">
        <f>((-D22+E22)/D22)*100</f>
        <v>1.3848779207141022</v>
      </c>
    </row>
    <row r="23" spans="2:6" ht="12.75">
      <c r="B23" s="304" t="s">
        <v>96</v>
      </c>
      <c r="C23" s="305"/>
      <c r="D23" s="310">
        <v>11006.1</v>
      </c>
      <c r="E23" s="310">
        <v>5372.8</v>
      </c>
      <c r="F23" s="311">
        <f>((-D23+E23)/D23)*100</f>
        <v>-51.183434640790104</v>
      </c>
    </row>
    <row r="24" spans="2:6" ht="12.75">
      <c r="B24" s="304" t="s">
        <v>160</v>
      </c>
      <c r="C24" s="305"/>
      <c r="D24" s="310">
        <v>13468.3</v>
      </c>
      <c r="E24" s="310">
        <v>14296.5</v>
      </c>
      <c r="F24" s="311">
        <v>100</v>
      </c>
    </row>
    <row r="25" spans="2:7" ht="12.75">
      <c r="B25" s="312" t="s">
        <v>76</v>
      </c>
      <c r="C25" s="313"/>
      <c r="D25" s="314">
        <f>SUM(D20:D24)</f>
        <v>223877.49999999997</v>
      </c>
      <c r="E25" s="314">
        <f>SUM(E20:E24)</f>
        <v>310133.89999999997</v>
      </c>
      <c r="F25" s="315">
        <f>((-D25+E25)/D25)*100</f>
        <v>38.52839164275106</v>
      </c>
      <c r="G25" s="279"/>
    </row>
    <row r="26" spans="2:7" ht="12.75">
      <c r="B26" s="297"/>
      <c r="C26" s="278"/>
      <c r="D26" s="278"/>
      <c r="E26" s="278"/>
      <c r="F26" s="96"/>
      <c r="G26" s="279"/>
    </row>
    <row r="27" spans="2:7" ht="12.75">
      <c r="B27" s="433" t="s">
        <v>14</v>
      </c>
      <c r="C27" s="434"/>
      <c r="D27" s="435">
        <f>D15+D25</f>
        <v>544432.5</v>
      </c>
      <c r="E27" s="435">
        <f>E15+E25</f>
        <v>564681.8999999999</v>
      </c>
      <c r="F27" s="436">
        <f>((-D27+E27)/D27)*100</f>
        <v>3.719359149205807</v>
      </c>
      <c r="G27" s="279"/>
    </row>
    <row r="28" spans="2:6" ht="13.5" thickBot="1">
      <c r="B28" s="98"/>
      <c r="C28" s="303"/>
      <c r="D28" s="300"/>
      <c r="E28" s="300"/>
      <c r="F28" s="301"/>
    </row>
    <row r="29" spans="2:6" ht="13.5" thickTop="1">
      <c r="B29" s="278"/>
      <c r="C29" s="278"/>
      <c r="D29" s="278"/>
      <c r="E29" s="278"/>
      <c r="F29" s="283"/>
    </row>
    <row r="30" ht="12.75">
      <c r="G30" s="279"/>
    </row>
    <row r="31" spans="1:3" ht="12.75">
      <c r="A31" s="286" t="s">
        <v>51</v>
      </c>
      <c r="B31" s="275" t="s">
        <v>115</v>
      </c>
      <c r="C31" s="275"/>
    </row>
    <row r="32" spans="2:3" ht="12.75">
      <c r="B32" s="275" t="s">
        <v>79</v>
      </c>
      <c r="C32" s="275"/>
    </row>
    <row r="93" spans="2:3" ht="12.75">
      <c r="B93" s="281"/>
      <c r="C93" s="281"/>
    </row>
    <row r="95" spans="2:3" ht="12.75">
      <c r="B95" s="281"/>
      <c r="C95" s="281"/>
    </row>
  </sheetData>
  <printOptions/>
  <pageMargins left="0.5905511811023623" right="0.1968503937007874" top="0.3937007874015748" bottom="0.5905511811023623" header="0.1968503937007874" footer="0.31496062992125984"/>
  <pageSetup horizontalDpi="300" verticalDpi="300" orientation="portrait" paperSize="9" r:id="rId2"/>
  <headerFooter alignWithMargins="0">
    <oddFooter>&amp;C&amp;9 3.12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7.8515625" style="1" customWidth="1"/>
    <col min="3" max="4" width="25.7109375" style="1" customWidth="1"/>
    <col min="5" max="6" width="17.7109375" style="1" customWidth="1"/>
    <col min="7" max="16384" width="11.421875" style="1" customWidth="1"/>
  </cols>
  <sheetData>
    <row r="1" spans="1:2" ht="20.25">
      <c r="A1" s="52" t="s">
        <v>41</v>
      </c>
      <c r="B1" s="4" t="s">
        <v>80</v>
      </c>
    </row>
    <row r="2" ht="12.75">
      <c r="B2" s="43"/>
    </row>
    <row r="3" ht="12.75">
      <c r="B3" s="44"/>
    </row>
    <row r="4" ht="12.75">
      <c r="B4" s="44"/>
    </row>
    <row r="5" spans="2:6" ht="14.25">
      <c r="B5" s="44" t="s">
        <v>81</v>
      </c>
      <c r="D5" s="190">
        <v>995818921</v>
      </c>
      <c r="E5" s="1" t="s">
        <v>82</v>
      </c>
      <c r="F5"/>
    </row>
    <row r="6" spans="2:6" ht="12.75">
      <c r="B6" s="44"/>
      <c r="F6"/>
    </row>
    <row r="7" spans="2:6" ht="14.25">
      <c r="B7" s="44" t="s">
        <v>83</v>
      </c>
      <c r="D7" s="190">
        <v>639440707</v>
      </c>
      <c r="E7" s="1" t="s">
        <v>82</v>
      </c>
      <c r="F7"/>
    </row>
    <row r="9" ht="13.5" thickBot="1"/>
    <row r="10" spans="2:7" ht="14.25" thickBot="1" thickTop="1">
      <c r="B10" s="45" t="s">
        <v>53</v>
      </c>
      <c r="C10" s="46"/>
      <c r="D10" s="53"/>
      <c r="E10"/>
      <c r="F10"/>
      <c r="G10"/>
    </row>
    <row r="11" spans="2:7" ht="13.5" thickTop="1">
      <c r="B11" s="47"/>
      <c r="C11" s="48"/>
      <c r="D11" s="54"/>
      <c r="E11"/>
      <c r="F11"/>
      <c r="G11"/>
    </row>
    <row r="12" spans="2:7" ht="12.75">
      <c r="B12" s="64" t="s">
        <v>84</v>
      </c>
      <c r="C12" s="49" t="s">
        <v>55</v>
      </c>
      <c r="D12" s="55" t="s">
        <v>56</v>
      </c>
      <c r="E12"/>
      <c r="F12"/>
      <c r="G12"/>
    </row>
    <row r="13" spans="2:7" ht="12.75">
      <c r="B13" s="50" t="s">
        <v>85</v>
      </c>
      <c r="C13" s="49" t="s">
        <v>57</v>
      </c>
      <c r="D13" s="56"/>
      <c r="E13"/>
      <c r="F13"/>
      <c r="G13"/>
    </row>
    <row r="14" spans="2:7" ht="12.75">
      <c r="B14" s="66"/>
      <c r="C14" s="8"/>
      <c r="D14" s="67"/>
      <c r="E14"/>
      <c r="F14"/>
      <c r="G14"/>
    </row>
    <row r="15" spans="2:7" ht="12.75">
      <c r="B15" s="61" t="s">
        <v>19</v>
      </c>
      <c r="C15" s="65"/>
      <c r="D15" s="60"/>
      <c r="E15"/>
      <c r="F15"/>
      <c r="G15"/>
    </row>
    <row r="16" spans="2:7" ht="12.75">
      <c r="B16" s="61" t="s">
        <v>20</v>
      </c>
      <c r="C16" s="59"/>
      <c r="D16" s="60"/>
      <c r="E16"/>
      <c r="F16"/>
      <c r="G16"/>
    </row>
    <row r="17" spans="2:7" ht="12.75">
      <c r="B17" s="61" t="s">
        <v>21</v>
      </c>
      <c r="C17" s="59"/>
      <c r="D17" s="60"/>
      <c r="E17"/>
      <c r="F17"/>
      <c r="G17"/>
    </row>
    <row r="18" spans="2:7" ht="12.75">
      <c r="B18" s="61" t="s">
        <v>22</v>
      </c>
      <c r="C18" s="59"/>
      <c r="D18" s="60"/>
      <c r="E18"/>
      <c r="F18"/>
      <c r="G18"/>
    </row>
    <row r="19" spans="2:7" ht="12.75">
      <c r="B19" s="61" t="s">
        <v>23</v>
      </c>
      <c r="C19" s="59"/>
      <c r="D19" s="60"/>
      <c r="E19"/>
      <c r="F19"/>
      <c r="G19"/>
    </row>
    <row r="20" spans="2:7" ht="12.75">
      <c r="B20" s="61" t="s">
        <v>24</v>
      </c>
      <c r="C20" s="59"/>
      <c r="D20" s="60"/>
      <c r="E20"/>
      <c r="F20"/>
      <c r="G20"/>
    </row>
    <row r="21" spans="2:7" ht="12.75">
      <c r="B21" s="61" t="s">
        <v>25</v>
      </c>
      <c r="C21" s="59"/>
      <c r="D21" s="60"/>
      <c r="E21"/>
      <c r="F21"/>
      <c r="G21"/>
    </row>
    <row r="22" spans="2:7" ht="12.75">
      <c r="B22" s="61" t="s">
        <v>26</v>
      </c>
      <c r="C22" s="59"/>
      <c r="D22" s="60"/>
      <c r="E22"/>
      <c r="F22"/>
      <c r="G22"/>
    </row>
    <row r="23" spans="2:7" ht="12.75">
      <c r="B23" s="61" t="s">
        <v>27</v>
      </c>
      <c r="C23" s="59"/>
      <c r="D23" s="60"/>
      <c r="E23"/>
      <c r="F23"/>
      <c r="G23"/>
    </row>
    <row r="24" spans="2:7" ht="12.75">
      <c r="B24" s="61" t="s">
        <v>28</v>
      </c>
      <c r="C24" s="59"/>
      <c r="D24" s="60"/>
      <c r="E24"/>
      <c r="F24"/>
      <c r="G24"/>
    </row>
    <row r="25" spans="2:7" ht="12.75">
      <c r="B25" s="61" t="s">
        <v>29</v>
      </c>
      <c r="C25" s="59"/>
      <c r="D25" s="60"/>
      <c r="E25"/>
      <c r="F25"/>
      <c r="G25"/>
    </row>
    <row r="26" spans="2:7" ht="13.5" thickBot="1">
      <c r="B26" s="51" t="s">
        <v>30</v>
      </c>
      <c r="C26" s="57"/>
      <c r="D26" s="58"/>
      <c r="E26"/>
      <c r="F26"/>
      <c r="G26"/>
    </row>
    <row r="27" spans="2:7" ht="13.5" thickTop="1">
      <c r="B27" s="46"/>
      <c r="C27" s="46"/>
      <c r="D27" s="46"/>
      <c r="E27"/>
      <c r="F27"/>
      <c r="G27"/>
    </row>
    <row r="28" spans="6:7" ht="12.75">
      <c r="F28"/>
      <c r="G28"/>
    </row>
    <row r="29" spans="1:7" ht="13.5">
      <c r="A29" s="62" t="s">
        <v>86</v>
      </c>
      <c r="B29" s="63" t="s">
        <v>87</v>
      </c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  <row r="46" spans="6:7" ht="12.75">
      <c r="F46"/>
      <c r="G46"/>
    </row>
    <row r="47" spans="6:7" ht="12.75">
      <c r="F47"/>
      <c r="G47"/>
    </row>
    <row r="48" spans="6:7" ht="12.75">
      <c r="F48"/>
      <c r="G48"/>
    </row>
    <row r="49" spans="6:7" ht="12.75">
      <c r="F49"/>
      <c r="G49"/>
    </row>
    <row r="50" spans="6:7" ht="12.75">
      <c r="F50"/>
      <c r="G50"/>
    </row>
    <row r="51" spans="6:7" ht="12.75">
      <c r="F51"/>
      <c r="G51"/>
    </row>
    <row r="52" spans="6:7" ht="12.75">
      <c r="F52"/>
      <c r="G52"/>
    </row>
    <row r="53" spans="6:7" ht="12.75">
      <c r="F53"/>
      <c r="G53"/>
    </row>
    <row r="54" spans="6:7" ht="12.75">
      <c r="F54"/>
      <c r="G54"/>
    </row>
    <row r="55" spans="6:7" ht="12.75">
      <c r="F55"/>
      <c r="G55"/>
    </row>
    <row r="56" spans="6:7" ht="12.75">
      <c r="F56"/>
      <c r="G56"/>
    </row>
    <row r="57" spans="6:7" ht="12.75">
      <c r="F57"/>
      <c r="G57"/>
    </row>
    <row r="58" spans="6:7" ht="12.75">
      <c r="F58"/>
      <c r="G58"/>
    </row>
    <row r="59" spans="6:7" ht="12.75">
      <c r="F59"/>
      <c r="G59"/>
    </row>
    <row r="60" spans="6:7" ht="12.75">
      <c r="F60"/>
      <c r="G60"/>
    </row>
    <row r="61" spans="6:7" ht="12.75">
      <c r="F61"/>
      <c r="G61"/>
    </row>
    <row r="62" spans="6:7" ht="12.75">
      <c r="F62"/>
      <c r="G62"/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  <row r="67" spans="6:7" ht="12.75">
      <c r="F67"/>
      <c r="G67"/>
    </row>
    <row r="68" spans="6:7" ht="12.75">
      <c r="F68"/>
      <c r="G68"/>
    </row>
    <row r="69" spans="6:7" ht="12.75">
      <c r="F69"/>
      <c r="G69"/>
    </row>
    <row r="70" spans="6:7" ht="12.75">
      <c r="F70"/>
      <c r="G70"/>
    </row>
    <row r="71" spans="6:7" ht="12.75">
      <c r="F71"/>
      <c r="G71"/>
    </row>
    <row r="72" spans="6:7" ht="12.75">
      <c r="F72"/>
      <c r="G72"/>
    </row>
    <row r="73" spans="6:7" ht="12.75">
      <c r="F73"/>
      <c r="G73"/>
    </row>
    <row r="74" spans="6:7" ht="12.75">
      <c r="F74"/>
      <c r="G74"/>
    </row>
    <row r="75" spans="6:7" ht="12.75">
      <c r="F75"/>
      <c r="G75"/>
    </row>
    <row r="76" spans="6:7" ht="12.75">
      <c r="F76"/>
      <c r="G76"/>
    </row>
    <row r="77" spans="6:7" ht="12.75">
      <c r="F77"/>
      <c r="G77"/>
    </row>
    <row r="78" spans="6:7" ht="12.75">
      <c r="F78"/>
      <c r="G78"/>
    </row>
    <row r="79" spans="6:7" ht="12.75">
      <c r="F79"/>
      <c r="G79"/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  <headerFooter alignWithMargins="0">
    <oddFooter>&amp;L&amp;F&amp;C1996&amp;R&amp;A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H5" sqref="H5"/>
    </sheetView>
  </sheetViews>
  <sheetFormatPr defaultColWidth="11.421875" defaultRowHeight="12.75"/>
  <cols>
    <col min="1" max="1" width="25.7109375" style="1" customWidth="1"/>
    <col min="2" max="2" width="8.7109375" style="1" customWidth="1"/>
    <col min="3" max="3" width="7.7109375" style="1" customWidth="1"/>
    <col min="4" max="5" width="13.7109375" style="1" customWidth="1"/>
    <col min="6" max="6" width="7.7109375" style="1" customWidth="1"/>
    <col min="7" max="7" width="9.7109375" style="1" customWidth="1"/>
    <col min="8" max="8" width="10.7109375" style="1" customWidth="1"/>
    <col min="9" max="9" width="11.7109375" style="1" customWidth="1"/>
    <col min="10" max="11" width="9.7109375" style="1" customWidth="1"/>
    <col min="12" max="16384" width="11.421875" style="1" customWidth="1"/>
  </cols>
  <sheetData>
    <row r="1" ht="15.75">
      <c r="A1" s="4" t="s">
        <v>129</v>
      </c>
    </row>
    <row r="3" ht="13.5" thickBot="1"/>
    <row r="4" spans="1:11" ht="12.75">
      <c r="A4" s="21"/>
      <c r="B4" s="25"/>
      <c r="C4" s="22"/>
      <c r="D4" s="23" t="s">
        <v>187</v>
      </c>
      <c r="E4" s="24"/>
      <c r="F4" s="25"/>
      <c r="G4" s="22"/>
      <c r="H4" s="325" t="s">
        <v>187</v>
      </c>
      <c r="I4" s="24"/>
      <c r="J4" s="25"/>
      <c r="K4" s="26"/>
    </row>
    <row r="5" spans="1:11" ht="12.75">
      <c r="A5" s="20"/>
      <c r="B5" s="11" t="s">
        <v>5</v>
      </c>
      <c r="C5" s="7"/>
      <c r="D5" s="10" t="s">
        <v>16</v>
      </c>
      <c r="E5" s="6"/>
      <c r="F5" s="11" t="s">
        <v>11</v>
      </c>
      <c r="G5" s="7"/>
      <c r="H5" s="321" t="s">
        <v>17</v>
      </c>
      <c r="I5" s="7"/>
      <c r="J5" s="11" t="s">
        <v>14</v>
      </c>
      <c r="K5" s="27"/>
    </row>
    <row r="6" spans="1:11" ht="12.75">
      <c r="A6" s="19" t="s">
        <v>128</v>
      </c>
      <c r="B6" s="8"/>
      <c r="C6" s="12"/>
      <c r="D6" s="8"/>
      <c r="E6" s="12"/>
      <c r="F6" s="8"/>
      <c r="G6" s="12"/>
      <c r="H6" s="322"/>
      <c r="I6" s="320"/>
      <c r="J6" s="8"/>
      <c r="K6" s="28"/>
    </row>
    <row r="7" spans="1:12" ht="12.75">
      <c r="A7" s="29" t="s">
        <v>18</v>
      </c>
      <c r="B7" s="9" t="s">
        <v>171</v>
      </c>
      <c r="C7" s="41" t="s">
        <v>185</v>
      </c>
      <c r="D7" s="9" t="s">
        <v>171</v>
      </c>
      <c r="E7" s="41" t="s">
        <v>185</v>
      </c>
      <c r="F7" s="9" t="s">
        <v>171</v>
      </c>
      <c r="G7" s="41" t="s">
        <v>185</v>
      </c>
      <c r="H7" s="9" t="s">
        <v>171</v>
      </c>
      <c r="I7" s="41" t="s">
        <v>185</v>
      </c>
      <c r="J7" s="9" t="s">
        <v>171</v>
      </c>
      <c r="K7" s="42" t="s">
        <v>185</v>
      </c>
      <c r="L7" s="360" t="s">
        <v>161</v>
      </c>
    </row>
    <row r="8" spans="1:11" ht="12.75">
      <c r="A8" s="30"/>
      <c r="B8" s="16"/>
      <c r="C8" s="13"/>
      <c r="D8" s="16"/>
      <c r="E8" s="13"/>
      <c r="F8" s="16"/>
      <c r="G8" s="13"/>
      <c r="H8" s="323"/>
      <c r="I8" s="2"/>
      <c r="J8" s="16"/>
      <c r="K8" s="31"/>
    </row>
    <row r="9" spans="1:12" ht="12.75">
      <c r="A9" s="32" t="s">
        <v>19</v>
      </c>
      <c r="B9" s="17">
        <v>595</v>
      </c>
      <c r="C9" s="14">
        <v>4362</v>
      </c>
      <c r="D9" s="17">
        <f>22828+30</f>
        <v>22858</v>
      </c>
      <c r="E9" s="14">
        <f>165503+229</f>
        <v>165732</v>
      </c>
      <c r="F9" s="17">
        <f>2085+556</f>
        <v>2641</v>
      </c>
      <c r="G9" s="14">
        <f>16132+4307</f>
        <v>20439</v>
      </c>
      <c r="H9" s="324">
        <v>2130</v>
      </c>
      <c r="I9" s="73">
        <v>16213</v>
      </c>
      <c r="J9" s="17">
        <f aca="true" t="shared" si="0" ref="J9:K16">B9+D9+F9+H9</f>
        <v>28224</v>
      </c>
      <c r="K9" s="33">
        <f t="shared" si="0"/>
        <v>206746</v>
      </c>
      <c r="L9" s="1">
        <f>+K9/31</f>
        <v>6669.225806451613</v>
      </c>
    </row>
    <row r="10" spans="1:12" ht="12.75">
      <c r="A10" s="32" t="s">
        <v>20</v>
      </c>
      <c r="B10" s="17">
        <v>518</v>
      </c>
      <c r="C10" s="14">
        <v>3800</v>
      </c>
      <c r="D10" s="17">
        <f>19278+48</f>
        <v>19326</v>
      </c>
      <c r="E10" s="14">
        <f>139766+355</f>
        <v>140121</v>
      </c>
      <c r="F10" s="17">
        <f>2085+548</f>
        <v>2633</v>
      </c>
      <c r="G10" s="14">
        <f>15256+4246</f>
        <v>19502</v>
      </c>
      <c r="H10" s="324">
        <v>2051</v>
      </c>
      <c r="I10" s="73">
        <v>15610</v>
      </c>
      <c r="J10" s="17">
        <f t="shared" si="0"/>
        <v>24528</v>
      </c>
      <c r="K10" s="33">
        <f t="shared" si="0"/>
        <v>179033</v>
      </c>
      <c r="L10" s="1">
        <f>+K10/29</f>
        <v>6173.551724137931</v>
      </c>
    </row>
    <row r="11" spans="1:12" ht="12.75">
      <c r="A11" s="32" t="s">
        <v>21</v>
      </c>
      <c r="B11" s="17">
        <v>528</v>
      </c>
      <c r="C11" s="14">
        <v>3877</v>
      </c>
      <c r="D11" s="17">
        <f>18624+47</f>
        <v>18671</v>
      </c>
      <c r="E11" s="14">
        <f>135023+348</f>
        <v>135371</v>
      </c>
      <c r="F11" s="17">
        <f>2100+415</f>
        <v>2515</v>
      </c>
      <c r="G11" s="14">
        <f>16254+3217</f>
        <v>19471</v>
      </c>
      <c r="H11" s="324">
        <v>2147</v>
      </c>
      <c r="I11" s="73">
        <v>16336</v>
      </c>
      <c r="J11" s="17">
        <f t="shared" si="0"/>
        <v>23861</v>
      </c>
      <c r="K11" s="33">
        <f t="shared" si="0"/>
        <v>175055</v>
      </c>
      <c r="L11" s="1">
        <f>+K11/31</f>
        <v>5646.935483870968</v>
      </c>
    </row>
    <row r="12" spans="1:12" ht="12.75">
      <c r="A12" s="32" t="s">
        <v>22</v>
      </c>
      <c r="B12" s="17">
        <v>549</v>
      </c>
      <c r="C12" s="14">
        <v>4022</v>
      </c>
      <c r="D12" s="17">
        <f>16253+43</f>
        <v>16296</v>
      </c>
      <c r="E12" s="14">
        <f>117833+315</f>
        <v>118148</v>
      </c>
      <c r="F12" s="17">
        <f>2097+590</f>
        <v>2687</v>
      </c>
      <c r="G12" s="14">
        <f>16225+4569</f>
        <v>20794</v>
      </c>
      <c r="H12" s="324">
        <v>1302</v>
      </c>
      <c r="I12" s="73">
        <v>9908</v>
      </c>
      <c r="J12" s="17">
        <f t="shared" si="0"/>
        <v>20834</v>
      </c>
      <c r="K12" s="33">
        <f t="shared" si="0"/>
        <v>152872</v>
      </c>
      <c r="L12" s="1">
        <f>+K12/30</f>
        <v>5095.733333333334</v>
      </c>
    </row>
    <row r="13" spans="1:12" ht="12.75">
      <c r="A13" s="32" t="s">
        <v>23</v>
      </c>
      <c r="B13" s="17">
        <v>547</v>
      </c>
      <c r="C13" s="14">
        <v>4003</v>
      </c>
      <c r="D13" s="17">
        <f>15950+0</f>
        <v>15950</v>
      </c>
      <c r="E13" s="14">
        <f>115640+0</f>
        <v>115640</v>
      </c>
      <c r="F13" s="17">
        <f>1808+653</f>
        <v>2461</v>
      </c>
      <c r="G13" s="14">
        <f>13992+5005</f>
        <v>18997</v>
      </c>
      <c r="H13" s="324">
        <v>1366</v>
      </c>
      <c r="I13" s="73">
        <v>10397</v>
      </c>
      <c r="J13" s="17">
        <f t="shared" si="0"/>
        <v>20324</v>
      </c>
      <c r="K13" s="33">
        <f t="shared" si="0"/>
        <v>149037</v>
      </c>
      <c r="L13" s="1">
        <f>+K13/31</f>
        <v>4807.645161290323</v>
      </c>
    </row>
    <row r="14" spans="1:12" ht="12.75">
      <c r="A14" s="32" t="s">
        <v>24</v>
      </c>
      <c r="B14" s="17">
        <v>543</v>
      </c>
      <c r="C14" s="14">
        <v>3963</v>
      </c>
      <c r="D14" s="17">
        <f>13241+99</f>
        <v>13340</v>
      </c>
      <c r="E14" s="14">
        <f>95997+727</f>
        <v>96724</v>
      </c>
      <c r="F14" s="17">
        <f>1654+3557</f>
        <v>5211</v>
      </c>
      <c r="G14" s="14">
        <f>12804+27701</f>
        <v>40505</v>
      </c>
      <c r="H14" s="324">
        <v>1324</v>
      </c>
      <c r="I14" s="73">
        <v>10078</v>
      </c>
      <c r="J14" s="17">
        <f t="shared" si="0"/>
        <v>20418</v>
      </c>
      <c r="K14" s="33">
        <f t="shared" si="0"/>
        <v>151270</v>
      </c>
      <c r="L14" s="1">
        <f>+K14/30</f>
        <v>5042.333333333333</v>
      </c>
    </row>
    <row r="15" spans="1:12" ht="12.75">
      <c r="A15" s="32" t="s">
        <v>25</v>
      </c>
      <c r="B15" s="17">
        <v>534</v>
      </c>
      <c r="C15" s="14">
        <v>3877</v>
      </c>
      <c r="D15" s="17">
        <f>11978+43</f>
        <v>12021</v>
      </c>
      <c r="E15" s="14">
        <f>86841+315</f>
        <v>87156</v>
      </c>
      <c r="F15" s="17">
        <f>2226+10165</f>
        <v>12391</v>
      </c>
      <c r="G15" s="14">
        <f>17223+78715</f>
        <v>95938</v>
      </c>
      <c r="H15" s="324">
        <v>1308</v>
      </c>
      <c r="I15" s="73">
        <v>9955</v>
      </c>
      <c r="J15" s="17">
        <f t="shared" si="0"/>
        <v>26254</v>
      </c>
      <c r="K15" s="33">
        <f t="shared" si="0"/>
        <v>196926</v>
      </c>
      <c r="L15" s="1">
        <f>+K15/31</f>
        <v>6352.451612903225</v>
      </c>
    </row>
    <row r="16" spans="1:12" ht="12.75">
      <c r="A16" s="32" t="s">
        <v>26</v>
      </c>
      <c r="B16" s="17">
        <v>538</v>
      </c>
      <c r="C16" s="14">
        <v>3896</v>
      </c>
      <c r="D16" s="17">
        <f>11807+41</f>
        <v>11848</v>
      </c>
      <c r="E16" s="14">
        <f>85603+304</f>
        <v>85907</v>
      </c>
      <c r="F16" s="17">
        <f>2350+7186</f>
        <v>9536</v>
      </c>
      <c r="G16" s="14">
        <f>18189+55645</f>
        <v>73834</v>
      </c>
      <c r="H16" s="324">
        <v>1273</v>
      </c>
      <c r="I16" s="73">
        <v>9687</v>
      </c>
      <c r="J16" s="17">
        <f t="shared" si="0"/>
        <v>23195</v>
      </c>
      <c r="K16" s="33">
        <f t="shared" si="0"/>
        <v>173324</v>
      </c>
      <c r="L16" s="1">
        <f>+K16/31</f>
        <v>5591.096774193548</v>
      </c>
    </row>
    <row r="17" spans="1:12" ht="12.75">
      <c r="A17" s="32" t="s">
        <v>27</v>
      </c>
      <c r="B17" s="17">
        <v>527</v>
      </c>
      <c r="C17" s="14">
        <v>3819</v>
      </c>
      <c r="D17" s="17">
        <f>10599+21</f>
        <v>10620</v>
      </c>
      <c r="E17" s="14">
        <f>76839+157</f>
        <v>76996</v>
      </c>
      <c r="F17" s="17">
        <f>2251+4457</f>
        <v>6708</v>
      </c>
      <c r="G17" s="14">
        <f>17424+34511</f>
        <v>51935</v>
      </c>
      <c r="H17" s="324">
        <v>1247</v>
      </c>
      <c r="I17" s="73">
        <v>9487</v>
      </c>
      <c r="J17" s="17">
        <f>B17+D17+F17+H17</f>
        <v>19102</v>
      </c>
      <c r="K17" s="33">
        <f>C17+E17+G17+I17</f>
        <v>142237</v>
      </c>
      <c r="L17" s="1">
        <f>+K17/30</f>
        <v>4741.233333333334</v>
      </c>
    </row>
    <row r="18" spans="1:12" ht="12.75">
      <c r="A18" s="32" t="s">
        <v>28</v>
      </c>
      <c r="B18" s="17">
        <v>538</v>
      </c>
      <c r="C18" s="14">
        <v>3905</v>
      </c>
      <c r="D18" s="17">
        <f>11558+31</f>
        <v>11589</v>
      </c>
      <c r="E18" s="14">
        <f>83796+225</f>
        <v>84021</v>
      </c>
      <c r="F18" s="17">
        <f>792+2009</f>
        <v>2801</v>
      </c>
      <c r="G18" s="14">
        <f>6134+15544</f>
        <v>21678</v>
      </c>
      <c r="H18" s="324">
        <v>2177</v>
      </c>
      <c r="I18" s="73">
        <v>16564</v>
      </c>
      <c r="J18" s="17">
        <f aca="true" t="shared" si="1" ref="J18:K20">B18+D18+F18+H18</f>
        <v>17105</v>
      </c>
      <c r="K18" s="33">
        <f t="shared" si="1"/>
        <v>126168</v>
      </c>
      <c r="L18" s="1">
        <f>+K18/31</f>
        <v>4069.935483870968</v>
      </c>
    </row>
    <row r="19" spans="1:12" ht="12.75">
      <c r="A19" s="32" t="s">
        <v>29</v>
      </c>
      <c r="B19" s="17">
        <v>479</v>
      </c>
      <c r="C19" s="14">
        <v>3490</v>
      </c>
      <c r="D19" s="17">
        <f>10440+55</f>
        <v>10495</v>
      </c>
      <c r="E19" s="14">
        <f>75691+406</f>
        <v>76097</v>
      </c>
      <c r="F19" s="17">
        <f>626+1877</f>
        <v>2503</v>
      </c>
      <c r="G19" s="14">
        <f>4851+14524</f>
        <v>19375</v>
      </c>
      <c r="H19" s="324">
        <v>2196</v>
      </c>
      <c r="I19" s="73">
        <v>16714</v>
      </c>
      <c r="J19" s="17">
        <f t="shared" si="1"/>
        <v>15673</v>
      </c>
      <c r="K19" s="33">
        <f t="shared" si="1"/>
        <v>115676</v>
      </c>
      <c r="L19" s="1">
        <f>+K19/30</f>
        <v>3855.866666666667</v>
      </c>
    </row>
    <row r="20" spans="1:12" ht="12.75">
      <c r="A20" s="32" t="s">
        <v>30</v>
      </c>
      <c r="B20" s="17">
        <v>457</v>
      </c>
      <c r="C20" s="14">
        <v>3340</v>
      </c>
      <c r="D20" s="17">
        <f>10050+52</f>
        <v>10102</v>
      </c>
      <c r="E20" s="14">
        <f>72859+384</f>
        <v>73243</v>
      </c>
      <c r="F20" s="17">
        <f>1972+492</f>
        <v>2464</v>
      </c>
      <c r="G20" s="14">
        <f>15261+3811</f>
        <v>19072</v>
      </c>
      <c r="H20" s="324">
        <v>2007</v>
      </c>
      <c r="I20" s="73">
        <v>15274</v>
      </c>
      <c r="J20" s="17">
        <f t="shared" si="1"/>
        <v>15030</v>
      </c>
      <c r="K20" s="33">
        <f t="shared" si="1"/>
        <v>110929</v>
      </c>
      <c r="L20" s="1">
        <f>+K20/31</f>
        <v>3578.3548387096776</v>
      </c>
    </row>
    <row r="21" spans="1:11" ht="12.75">
      <c r="A21" s="20"/>
      <c r="B21" s="3"/>
      <c r="C21" s="2"/>
      <c r="D21" s="2"/>
      <c r="E21" s="2"/>
      <c r="F21" s="3"/>
      <c r="G21" s="2"/>
      <c r="H21" s="2"/>
      <c r="I21" s="2"/>
      <c r="J21" s="2"/>
      <c r="K21" s="39"/>
    </row>
    <row r="22" spans="1:11" ht="12.75">
      <c r="A22" s="40" t="s">
        <v>14</v>
      </c>
      <c r="B22" s="18">
        <f>SUM(B9:B20)</f>
        <v>6353</v>
      </c>
      <c r="C22" s="15">
        <f>SUM(C9:C20)</f>
        <v>46354</v>
      </c>
      <c r="D22" s="18">
        <f>SUM(D9:D20)</f>
        <v>173116</v>
      </c>
      <c r="E22" s="15">
        <f>SUM(E9:E20)</f>
        <v>1255156</v>
      </c>
      <c r="F22" s="18">
        <f aca="true" t="shared" si="2" ref="F22:K22">SUM(F9:F20)</f>
        <v>54551</v>
      </c>
      <c r="G22" s="15">
        <f t="shared" si="2"/>
        <v>421540</v>
      </c>
      <c r="H22" s="18">
        <f t="shared" si="2"/>
        <v>20528</v>
      </c>
      <c r="I22" s="15">
        <f t="shared" si="2"/>
        <v>156223</v>
      </c>
      <c r="J22" s="18">
        <f t="shared" si="2"/>
        <v>254548</v>
      </c>
      <c r="K22" s="34">
        <f t="shared" si="2"/>
        <v>1879273</v>
      </c>
    </row>
    <row r="23" spans="1:11" ht="13.5" thickBot="1">
      <c r="A23" s="35"/>
      <c r="B23" s="36"/>
      <c r="C23" s="36"/>
      <c r="D23" s="36"/>
      <c r="E23" s="36"/>
      <c r="F23" s="37"/>
      <c r="G23" s="36"/>
      <c r="H23" s="36"/>
      <c r="I23" s="36"/>
      <c r="J23" s="36"/>
      <c r="K23" s="38"/>
    </row>
    <row r="25" spans="10:12" ht="12.75">
      <c r="J25" s="361" t="s">
        <v>162</v>
      </c>
      <c r="L25" s="1">
        <f>AVERAGE(L9:L17)</f>
        <v>5568.911840316401</v>
      </c>
    </row>
  </sheetData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headerFooter alignWithMargins="0">
    <oddFooter>&amp;C3.2&amp;R&amp;9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B10">
      <selection activeCell="J10" sqref="J10"/>
    </sheetView>
  </sheetViews>
  <sheetFormatPr defaultColWidth="11.421875" defaultRowHeight="12.75"/>
  <cols>
    <col min="1" max="1" width="25.7109375" style="1" customWidth="1"/>
    <col min="2" max="3" width="11.7109375" style="1" customWidth="1"/>
    <col min="4" max="5" width="13.7109375" style="1" customWidth="1"/>
    <col min="6" max="6" width="9.7109375" style="1" customWidth="1"/>
    <col min="7" max="8" width="10.7109375" style="1" customWidth="1"/>
    <col min="9" max="9" width="11.7109375" style="1" customWidth="1"/>
    <col min="10" max="16384" width="11.421875" style="1" customWidth="1"/>
  </cols>
  <sheetData>
    <row r="1" ht="15.75">
      <c r="A1" s="4" t="s">
        <v>130</v>
      </c>
    </row>
    <row r="6" ht="13.5" thickBot="1"/>
    <row r="7" spans="1:9" ht="12.75">
      <c r="A7" s="21"/>
      <c r="B7" s="25"/>
      <c r="C7" s="22"/>
      <c r="D7" s="23" t="s">
        <v>7</v>
      </c>
      <c r="E7" s="24"/>
      <c r="F7" s="25"/>
      <c r="G7" s="326"/>
      <c r="H7" s="325" t="s">
        <v>7</v>
      </c>
      <c r="I7" s="332"/>
    </row>
    <row r="8" spans="1:9" ht="12.75">
      <c r="A8" s="20"/>
      <c r="B8" s="11" t="s">
        <v>5</v>
      </c>
      <c r="C8" s="7"/>
      <c r="D8" s="10" t="s">
        <v>16</v>
      </c>
      <c r="E8" s="6"/>
      <c r="F8" s="11" t="s">
        <v>11</v>
      </c>
      <c r="G8" s="327"/>
      <c r="H8" s="11" t="s">
        <v>17</v>
      </c>
      <c r="I8" s="27"/>
    </row>
    <row r="9" spans="1:9" ht="12.75">
      <c r="A9" s="19" t="s">
        <v>128</v>
      </c>
      <c r="B9" s="8"/>
      <c r="C9" s="12"/>
      <c r="D9" s="8"/>
      <c r="E9" s="12"/>
      <c r="F9" s="8"/>
      <c r="G9" s="328"/>
      <c r="H9" s="8"/>
      <c r="I9" s="28"/>
    </row>
    <row r="10" spans="1:9" ht="12.75">
      <c r="A10" s="29" t="s">
        <v>18</v>
      </c>
      <c r="B10" s="9" t="s">
        <v>171</v>
      </c>
      <c r="C10" s="41" t="s">
        <v>185</v>
      </c>
      <c r="D10" s="9" t="s">
        <v>171</v>
      </c>
      <c r="E10" s="41" t="s">
        <v>185</v>
      </c>
      <c r="F10" s="9" t="s">
        <v>171</v>
      </c>
      <c r="G10" s="329" t="s">
        <v>185</v>
      </c>
      <c r="H10" s="9" t="s">
        <v>171</v>
      </c>
      <c r="I10" s="42" t="s">
        <v>185</v>
      </c>
    </row>
    <row r="11" spans="1:9" ht="12.75">
      <c r="A11" s="336" t="s">
        <v>170</v>
      </c>
      <c r="B11" s="338">
        <v>2258392</v>
      </c>
      <c r="C11" s="337">
        <v>16875573</v>
      </c>
      <c r="D11" s="338">
        <v>19376727</v>
      </c>
      <c r="E11" s="337">
        <v>141630430</v>
      </c>
      <c r="F11" s="338">
        <v>785420</v>
      </c>
      <c r="G11" s="339">
        <v>6003925</v>
      </c>
      <c r="H11" s="338">
        <v>608197</v>
      </c>
      <c r="I11" s="340">
        <v>4595873</v>
      </c>
    </row>
    <row r="12" spans="1:9" ht="12.75">
      <c r="A12" s="32" t="s">
        <v>19</v>
      </c>
      <c r="B12" s="17">
        <f>+B11+'32PMC'!B9</f>
        <v>2258987</v>
      </c>
      <c r="C12" s="14">
        <f>+C11+'32PMC'!C9</f>
        <v>16879935</v>
      </c>
      <c r="D12" s="17">
        <f>+D11+'32PMC'!D9</f>
        <v>19399585</v>
      </c>
      <c r="E12" s="14">
        <f>+E11+'32PMC'!E9</f>
        <v>141796162</v>
      </c>
      <c r="F12" s="17">
        <f>+F11+'32PMC'!F9</f>
        <v>788061</v>
      </c>
      <c r="G12" s="330">
        <f>+G11+'32PMC'!G9</f>
        <v>6024364</v>
      </c>
      <c r="H12" s="17">
        <f>+H11+'32PMC'!H9</f>
        <v>610327</v>
      </c>
      <c r="I12" s="33">
        <f>+I11+'32PMC'!I9</f>
        <v>4612086</v>
      </c>
    </row>
    <row r="13" spans="1:9" ht="12.75">
      <c r="A13" s="32" t="s">
        <v>20</v>
      </c>
      <c r="B13" s="17">
        <f>+B12+'32PMC'!B10</f>
        <v>2259505</v>
      </c>
      <c r="C13" s="14">
        <f>+C12+'32PMC'!C10</f>
        <v>16883735</v>
      </c>
      <c r="D13" s="17">
        <f>+D12+'32PMC'!D10</f>
        <v>19418911</v>
      </c>
      <c r="E13" s="14">
        <f>+E12+'32PMC'!E10</f>
        <v>141936283</v>
      </c>
      <c r="F13" s="17">
        <f>+F12+'32PMC'!F10</f>
        <v>790694</v>
      </c>
      <c r="G13" s="330">
        <f>+G12+'32PMC'!G10</f>
        <v>6043866</v>
      </c>
      <c r="H13" s="17">
        <f>+H12+'32PMC'!H10</f>
        <v>612378</v>
      </c>
      <c r="I13" s="33">
        <f>+I12+'32PMC'!I10</f>
        <v>4627696</v>
      </c>
    </row>
    <row r="14" spans="1:9" ht="12.75">
      <c r="A14" s="32" t="s">
        <v>21</v>
      </c>
      <c r="B14" s="17">
        <f>+B13+'32PMC'!B11</f>
        <v>2260033</v>
      </c>
      <c r="C14" s="14">
        <f>+C13+'32PMC'!C11</f>
        <v>16887612</v>
      </c>
      <c r="D14" s="17">
        <f>+D13+'32PMC'!D11</f>
        <v>19437582</v>
      </c>
      <c r="E14" s="14">
        <f>+E13+'32PMC'!E11</f>
        <v>142071654</v>
      </c>
      <c r="F14" s="17">
        <f>+F13+'32PMC'!F11</f>
        <v>793209</v>
      </c>
      <c r="G14" s="330">
        <f>+G13+'32PMC'!G11</f>
        <v>6063337</v>
      </c>
      <c r="H14" s="17">
        <f>+H13+'32PMC'!H11</f>
        <v>614525</v>
      </c>
      <c r="I14" s="33">
        <f>+I13+'32PMC'!I11</f>
        <v>4644032</v>
      </c>
    </row>
    <row r="15" spans="1:9" ht="12.75">
      <c r="A15" s="32" t="s">
        <v>22</v>
      </c>
      <c r="B15" s="17">
        <f>+B14+'32PMC'!B12</f>
        <v>2260582</v>
      </c>
      <c r="C15" s="14">
        <f>+C14+'32PMC'!C12</f>
        <v>16891634</v>
      </c>
      <c r="D15" s="17">
        <f>+D14+'32PMC'!D12</f>
        <v>19453878</v>
      </c>
      <c r="E15" s="14">
        <f>+E14+'32PMC'!E12</f>
        <v>142189802</v>
      </c>
      <c r="F15" s="17">
        <f>+F14+'32PMC'!F12</f>
        <v>795896</v>
      </c>
      <c r="G15" s="330">
        <f>+G14+'32PMC'!G12</f>
        <v>6084131</v>
      </c>
      <c r="H15" s="17">
        <f>+H14+'32PMC'!H12</f>
        <v>615827</v>
      </c>
      <c r="I15" s="33">
        <f>+I14+'32PMC'!I12</f>
        <v>4653940</v>
      </c>
    </row>
    <row r="16" spans="1:9" ht="12.75">
      <c r="A16" s="32" t="s">
        <v>23</v>
      </c>
      <c r="B16" s="17">
        <f>+B15+'32PMC'!B13</f>
        <v>2261129</v>
      </c>
      <c r="C16" s="14">
        <f>+C15+'32PMC'!C13</f>
        <v>16895637</v>
      </c>
      <c r="D16" s="17">
        <f>+D15+'32PMC'!D13</f>
        <v>19469828</v>
      </c>
      <c r="E16" s="14">
        <f>+E15+'32PMC'!E13</f>
        <v>142305442</v>
      </c>
      <c r="F16" s="17">
        <f>+F15+'32PMC'!F13</f>
        <v>798357</v>
      </c>
      <c r="G16" s="330">
        <f>+G15+'32PMC'!G13</f>
        <v>6103128</v>
      </c>
      <c r="H16" s="17">
        <f>+H15+'32PMC'!H13</f>
        <v>617193</v>
      </c>
      <c r="I16" s="33">
        <f>+I15+'32PMC'!I13</f>
        <v>4664337</v>
      </c>
    </row>
    <row r="17" spans="1:9" ht="12.75">
      <c r="A17" s="32" t="s">
        <v>24</v>
      </c>
      <c r="B17" s="17">
        <f>+B16+'32PMC'!B14</f>
        <v>2261672</v>
      </c>
      <c r="C17" s="14">
        <f>+C16+'32PMC'!C14</f>
        <v>16899600</v>
      </c>
      <c r="D17" s="17">
        <f>+D16+'32PMC'!D14</f>
        <v>19483168</v>
      </c>
      <c r="E17" s="14">
        <f>+E16+'32PMC'!E14</f>
        <v>142402166</v>
      </c>
      <c r="F17" s="17">
        <f>+F16+'32PMC'!F14</f>
        <v>803568</v>
      </c>
      <c r="G17" s="330">
        <f>+G16+'32PMC'!G14</f>
        <v>6143633</v>
      </c>
      <c r="H17" s="17">
        <f>+H16+'32PMC'!H14</f>
        <v>618517</v>
      </c>
      <c r="I17" s="33">
        <f>+I16+'32PMC'!I14</f>
        <v>4674415</v>
      </c>
    </row>
    <row r="18" spans="1:9" ht="12.75">
      <c r="A18" s="32" t="s">
        <v>25</v>
      </c>
      <c r="B18" s="17">
        <f>+B17+'32PMC'!B15</f>
        <v>2262206</v>
      </c>
      <c r="C18" s="14">
        <f>+C17+'32PMC'!C15</f>
        <v>16903477</v>
      </c>
      <c r="D18" s="17">
        <f>+D17+'32PMC'!D15</f>
        <v>19495189</v>
      </c>
      <c r="E18" s="14">
        <f>+E17+'32PMC'!E15</f>
        <v>142489322</v>
      </c>
      <c r="F18" s="17">
        <f>+F17+'32PMC'!F15</f>
        <v>815959</v>
      </c>
      <c r="G18" s="330">
        <f>+G17+'32PMC'!G15</f>
        <v>6239571</v>
      </c>
      <c r="H18" s="17">
        <f>+H17+'32PMC'!H15</f>
        <v>619825</v>
      </c>
      <c r="I18" s="33">
        <f>+I17+'32PMC'!I15</f>
        <v>4684370</v>
      </c>
    </row>
    <row r="19" spans="1:9" ht="12.75">
      <c r="A19" s="32" t="s">
        <v>26</v>
      </c>
      <c r="B19" s="17">
        <f>+B18+'32PMC'!B16</f>
        <v>2262744</v>
      </c>
      <c r="C19" s="14">
        <f>+C18+'32PMC'!C16</f>
        <v>16907373</v>
      </c>
      <c r="D19" s="17">
        <f>+D18+'32PMC'!D16</f>
        <v>19507037</v>
      </c>
      <c r="E19" s="14">
        <f>+E18+'32PMC'!E16</f>
        <v>142575229</v>
      </c>
      <c r="F19" s="17">
        <f>+F18+'32PMC'!F16</f>
        <v>825495</v>
      </c>
      <c r="G19" s="330">
        <f>+G18+'32PMC'!G16</f>
        <v>6313405</v>
      </c>
      <c r="H19" s="17">
        <f>+H18+'32PMC'!H16</f>
        <v>621098</v>
      </c>
      <c r="I19" s="33">
        <f>+I18+'32PMC'!I16</f>
        <v>4694057</v>
      </c>
    </row>
    <row r="20" spans="1:9" ht="12.75">
      <c r="A20" s="32" t="s">
        <v>27</v>
      </c>
      <c r="B20" s="17">
        <f>+B19+'32PMC'!B17</f>
        <v>2263271</v>
      </c>
      <c r="C20" s="14">
        <f>+C19+'32PMC'!C17</f>
        <v>16911192</v>
      </c>
      <c r="D20" s="17">
        <f>+D19+'32PMC'!D17</f>
        <v>19517657</v>
      </c>
      <c r="E20" s="14">
        <f>+E19+'32PMC'!E17</f>
        <v>142652225</v>
      </c>
      <c r="F20" s="17">
        <f>+F19+'32PMC'!F17</f>
        <v>832203</v>
      </c>
      <c r="G20" s="330">
        <f>+G19+'32PMC'!G17</f>
        <v>6365340</v>
      </c>
      <c r="H20" s="17">
        <f>+H19+'32PMC'!H17</f>
        <v>622345</v>
      </c>
      <c r="I20" s="33">
        <f>+I19+'32PMC'!I17</f>
        <v>4703544</v>
      </c>
    </row>
    <row r="21" spans="1:9" ht="12.75">
      <c r="A21" s="32" t="s">
        <v>28</v>
      </c>
      <c r="B21" s="17">
        <f>+B20+'32PMC'!B18</f>
        <v>2263809</v>
      </c>
      <c r="C21" s="14">
        <f>+C20+'32PMC'!C18</f>
        <v>16915097</v>
      </c>
      <c r="D21" s="17">
        <f>+D20+'32PMC'!D18</f>
        <v>19529246</v>
      </c>
      <c r="E21" s="14">
        <f>+E20+'32PMC'!E18</f>
        <v>142736246</v>
      </c>
      <c r="F21" s="17">
        <f>+F20+'32PMC'!F18</f>
        <v>835004</v>
      </c>
      <c r="G21" s="330">
        <f>+G20+'32PMC'!G18</f>
        <v>6387018</v>
      </c>
      <c r="H21" s="17">
        <f>+H20+'32PMC'!H18</f>
        <v>624522</v>
      </c>
      <c r="I21" s="33">
        <f>+I20+'32PMC'!I18</f>
        <v>4720108</v>
      </c>
    </row>
    <row r="22" spans="1:9" ht="12.75">
      <c r="A22" s="32" t="s">
        <v>29</v>
      </c>
      <c r="B22" s="17">
        <f>+B21+'32PMC'!B19</f>
        <v>2264288</v>
      </c>
      <c r="C22" s="14">
        <f>+C21+'32PMC'!C19</f>
        <v>16918587</v>
      </c>
      <c r="D22" s="17">
        <f>+D21+'32PMC'!D19</f>
        <v>19539741</v>
      </c>
      <c r="E22" s="14">
        <f>+E21+'32PMC'!E19</f>
        <v>142812343</v>
      </c>
      <c r="F22" s="17">
        <f>+F21+'32PMC'!F19</f>
        <v>837507</v>
      </c>
      <c r="G22" s="330">
        <f>+G21+'32PMC'!G19</f>
        <v>6406393</v>
      </c>
      <c r="H22" s="17">
        <f>+H21+'32PMC'!H19</f>
        <v>626718</v>
      </c>
      <c r="I22" s="33">
        <f>+I21+'32PMC'!I19</f>
        <v>4736822</v>
      </c>
    </row>
    <row r="23" spans="1:9" ht="12.75">
      <c r="A23" s="32" t="s">
        <v>30</v>
      </c>
      <c r="B23" s="17">
        <f>+B22+'32PMC'!B20</f>
        <v>2264745</v>
      </c>
      <c r="C23" s="14">
        <f>+C22+'32PMC'!C20</f>
        <v>16921927</v>
      </c>
      <c r="D23" s="17">
        <f>+D22+'32PMC'!D20</f>
        <v>19549843</v>
      </c>
      <c r="E23" s="14">
        <f>+E22+'32PMC'!E20</f>
        <v>142885586</v>
      </c>
      <c r="F23" s="17">
        <f>+F22+'32PMC'!F20</f>
        <v>839971</v>
      </c>
      <c r="G23" s="330">
        <f>+G22+'32PMC'!G20</f>
        <v>6425465</v>
      </c>
      <c r="H23" s="17">
        <f>+H22+'32PMC'!H20</f>
        <v>628725</v>
      </c>
      <c r="I23" s="33">
        <f>+I22+'32PMC'!I20</f>
        <v>4752096</v>
      </c>
    </row>
    <row r="24" spans="1:9" ht="13.5" thickBot="1">
      <c r="A24" s="35"/>
      <c r="B24" s="37"/>
      <c r="C24" s="36"/>
      <c r="D24" s="36"/>
      <c r="E24" s="36"/>
      <c r="F24" s="37"/>
      <c r="G24" s="331"/>
      <c r="H24" s="37"/>
      <c r="I24" s="38"/>
    </row>
    <row r="26" spans="4:7" ht="12.75">
      <c r="D26" s="414">
        <f>+D23-17791</f>
        <v>19532052</v>
      </c>
      <c r="E26" s="415">
        <f>+E23-129844</f>
        <v>142755742</v>
      </c>
      <c r="F26" s="414">
        <f>+F23-309421</f>
        <v>530550</v>
      </c>
      <c r="G26" s="415">
        <f>+G23-2391604</f>
        <v>4033861</v>
      </c>
    </row>
    <row r="27" spans="4:7" ht="12.75">
      <c r="D27" s="439" t="s">
        <v>163</v>
      </c>
      <c r="E27" s="440"/>
      <c r="F27" s="439" t="s">
        <v>164</v>
      </c>
      <c r="G27" s="440"/>
    </row>
    <row r="28" spans="4:7" ht="12.75">
      <c r="D28" s="414">
        <f>+D23-D26</f>
        <v>17791</v>
      </c>
      <c r="E28" s="415">
        <f>+E23-E26</f>
        <v>129844</v>
      </c>
      <c r="F28" s="1">
        <f>+F23-F26</f>
        <v>309421</v>
      </c>
      <c r="G28" s="415">
        <f>+G23-G26</f>
        <v>2391604</v>
      </c>
    </row>
    <row r="29" spans="4:7" ht="12.75">
      <c r="D29" s="439" t="s">
        <v>165</v>
      </c>
      <c r="E29" s="440"/>
      <c r="F29" s="439" t="s">
        <v>166</v>
      </c>
      <c r="G29" s="440"/>
    </row>
  </sheetData>
  <mergeCells count="4">
    <mergeCell ref="D27:E27"/>
    <mergeCell ref="F27:G27"/>
    <mergeCell ref="D29:E29"/>
    <mergeCell ref="F29:G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&amp;C3.3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44"/>
  <sheetViews>
    <sheetView workbookViewId="0" topLeftCell="A21">
      <selection activeCell="J11" sqref="J11"/>
    </sheetView>
  </sheetViews>
  <sheetFormatPr defaultColWidth="11.421875" defaultRowHeight="12.75"/>
  <cols>
    <col min="1" max="1" width="18.28125" style="0" customWidth="1"/>
    <col min="2" max="2" width="1.7109375" style="0" customWidth="1"/>
    <col min="3" max="3" width="11.7109375" style="130" customWidth="1"/>
    <col min="4" max="4" width="14.7109375" style="130" customWidth="1"/>
    <col min="5" max="5" width="11.7109375" style="130" customWidth="1"/>
    <col min="6" max="6" width="8.7109375" style="130" customWidth="1"/>
    <col min="7" max="7" width="1.7109375" style="130" customWidth="1"/>
    <col min="8" max="8" width="13.7109375" style="130" customWidth="1"/>
    <col min="9" max="9" width="14.7109375" style="130" customWidth="1"/>
    <col min="10" max="10" width="12.7109375" style="130" customWidth="1"/>
    <col min="11" max="11" width="8.7109375" style="130" customWidth="1"/>
    <col min="12" max="12" width="1.7109375" style="130" customWidth="1"/>
    <col min="13" max="13" width="12.7109375" style="130" customWidth="1"/>
    <col min="14" max="16" width="11.421875" style="130" customWidth="1"/>
  </cols>
  <sheetData>
    <row r="2" ht="15.75">
      <c r="A2" s="124" t="s">
        <v>131</v>
      </c>
    </row>
    <row r="5" spans="1:249" s="125" customFormat="1" ht="12.75">
      <c r="A5" s="126"/>
      <c r="B5" s="12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</row>
    <row r="6" spans="1:249" s="125" customFormat="1" ht="12.75">
      <c r="A6" s="126"/>
      <c r="B6" s="12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</row>
    <row r="7" spans="1:249" s="125" customFormat="1" ht="13.5" thickBot="1">
      <c r="A7" s="129"/>
      <c r="B7" s="12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8"/>
      <c r="P7" s="68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</row>
    <row r="8" spans="1:249" s="125" customFormat="1" ht="13.5" thickTop="1">
      <c r="A8" s="137"/>
      <c r="B8" s="138"/>
      <c r="C8" s="139"/>
      <c r="D8" s="140"/>
      <c r="E8" s="140"/>
      <c r="F8" s="140"/>
      <c r="G8" s="140"/>
      <c r="H8" s="139"/>
      <c r="I8" s="140"/>
      <c r="J8" s="140"/>
      <c r="K8" s="140"/>
      <c r="L8" s="140"/>
      <c r="M8" s="141"/>
      <c r="N8" s="2"/>
      <c r="O8" s="68"/>
      <c r="P8" s="68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</row>
    <row r="9" spans="1:249" s="125" customFormat="1" ht="12.75">
      <c r="A9" s="166" t="s">
        <v>1</v>
      </c>
      <c r="B9" s="154"/>
      <c r="C9" s="155" t="s">
        <v>128</v>
      </c>
      <c r="D9" s="156"/>
      <c r="E9" s="156"/>
      <c r="F9" s="156"/>
      <c r="G9" s="75"/>
      <c r="H9" s="155" t="s">
        <v>132</v>
      </c>
      <c r="I9" s="156"/>
      <c r="J9" s="156"/>
      <c r="K9" s="156"/>
      <c r="L9" s="75"/>
      <c r="M9" s="157" t="s">
        <v>2</v>
      </c>
      <c r="N9" s="2"/>
      <c r="O9" s="68"/>
      <c r="P9" s="68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</row>
    <row r="10" spans="1:249" s="125" customFormat="1" ht="14.25">
      <c r="A10" s="167" t="s">
        <v>3</v>
      </c>
      <c r="B10" s="158"/>
      <c r="C10" s="159" t="s">
        <v>88</v>
      </c>
      <c r="D10" s="159" t="s">
        <v>189</v>
      </c>
      <c r="E10" s="160" t="s">
        <v>190</v>
      </c>
      <c r="F10" s="159" t="s">
        <v>97</v>
      </c>
      <c r="G10" s="161"/>
      <c r="H10" s="159" t="s">
        <v>88</v>
      </c>
      <c r="I10" s="159" t="s">
        <v>189</v>
      </c>
      <c r="J10" s="159" t="s">
        <v>190</v>
      </c>
      <c r="K10" s="159" t="s">
        <v>97</v>
      </c>
      <c r="L10" s="161"/>
      <c r="M10" s="162" t="s">
        <v>32</v>
      </c>
      <c r="N10" s="2"/>
      <c r="O10" s="68"/>
      <c r="P10" s="68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</row>
    <row r="11" spans="1:249" s="125" customFormat="1" ht="12.75">
      <c r="A11" s="145"/>
      <c r="B11" s="126"/>
      <c r="C11" s="2"/>
      <c r="D11" s="2"/>
      <c r="E11" s="2"/>
      <c r="F11" s="2"/>
      <c r="G11" s="68"/>
      <c r="H11" s="2"/>
      <c r="I11" s="2"/>
      <c r="J11" s="2"/>
      <c r="K11" s="2"/>
      <c r="L11" s="68"/>
      <c r="M11" s="70"/>
      <c r="N11" s="2"/>
      <c r="O11" s="68"/>
      <c r="P11" s="68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</row>
    <row r="12" spans="1:249" s="125" customFormat="1" ht="12.75">
      <c r="A12" s="142" t="s">
        <v>106</v>
      </c>
      <c r="B12" s="126"/>
      <c r="C12" s="131">
        <f>+'35PMG'!C19</f>
        <v>19794732</v>
      </c>
      <c r="D12" s="131">
        <f>C12*9.45</f>
        <v>187060217.39999998</v>
      </c>
      <c r="E12" s="84">
        <f>ROUND(C12*0.00085,1)</f>
        <v>16825.5</v>
      </c>
      <c r="F12" s="127">
        <f>E12/E$22</f>
        <v>0.054252372926661685</v>
      </c>
      <c r="G12" s="68"/>
      <c r="H12" s="131">
        <f>+'35PMG'!C60</f>
        <v>1047220580</v>
      </c>
      <c r="I12" s="131">
        <f>H12*9.45</f>
        <v>9896234481</v>
      </c>
      <c r="J12" s="131">
        <f>ROUND(H12*0.00085,0)</f>
        <v>890137</v>
      </c>
      <c r="K12" s="133">
        <f>J12/J$22</f>
        <v>0.3533856078269614</v>
      </c>
      <c r="L12" s="68"/>
      <c r="M12" s="143" t="s">
        <v>172</v>
      </c>
      <c r="N12" s="2"/>
      <c r="O12" s="68"/>
      <c r="P12" s="68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</row>
    <row r="13" spans="1:249" s="125" customFormat="1" ht="12.75">
      <c r="A13" s="142"/>
      <c r="B13" s="126"/>
      <c r="C13" s="131"/>
      <c r="D13" s="131"/>
      <c r="E13" s="84"/>
      <c r="F13" s="127"/>
      <c r="G13" s="68"/>
      <c r="H13" s="131"/>
      <c r="I13" s="131"/>
      <c r="J13" s="131"/>
      <c r="K13" s="133"/>
      <c r="L13" s="68"/>
      <c r="M13" s="143"/>
      <c r="N13" s="2"/>
      <c r="O13" s="68"/>
      <c r="P13" s="68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</row>
    <row r="14" spans="1:249" s="125" customFormat="1" ht="12.75">
      <c r="A14" s="145" t="s">
        <v>133</v>
      </c>
      <c r="B14" s="126"/>
      <c r="C14" s="2">
        <f>+'35PMG'!D19</f>
        <v>316476527</v>
      </c>
      <c r="D14" s="131">
        <f>C14*9.5</f>
        <v>3006527006.5</v>
      </c>
      <c r="E14" s="84">
        <f>ROUND(C14*0.00085,1)</f>
        <v>269005</v>
      </c>
      <c r="F14" s="127">
        <f>E14/E$22</f>
        <v>0.8673834108428651</v>
      </c>
      <c r="G14" s="68"/>
      <c r="H14" s="2">
        <f>+'35PMG'!D60</f>
        <v>1764575838</v>
      </c>
      <c r="I14" s="2">
        <f>+H14*9.5</f>
        <v>16763470461</v>
      </c>
      <c r="J14" s="131">
        <f>ROUND(H14*0.00085,0)</f>
        <v>1499889</v>
      </c>
      <c r="K14" s="133">
        <f>J14/J$22</f>
        <v>0.5954579867345963</v>
      </c>
      <c r="L14" s="68"/>
      <c r="M14" s="143" t="s">
        <v>6</v>
      </c>
      <c r="N14" s="2"/>
      <c r="O14" s="68"/>
      <c r="P14" s="68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</row>
    <row r="15" spans="1:249" s="125" customFormat="1" ht="12.75">
      <c r="A15" s="145"/>
      <c r="B15" s="126"/>
      <c r="C15" s="2"/>
      <c r="D15" s="131"/>
      <c r="E15" s="84"/>
      <c r="F15" s="127"/>
      <c r="G15" s="68"/>
      <c r="H15" s="2"/>
      <c r="I15" s="2"/>
      <c r="J15" s="131"/>
      <c r="K15" s="133"/>
      <c r="L15" s="68"/>
      <c r="M15" s="143"/>
      <c r="N15" s="2"/>
      <c r="O15" s="68"/>
      <c r="P15" s="68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</row>
    <row r="16" spans="1:249" s="125" customFormat="1" ht="12.75">
      <c r="A16" s="145" t="s">
        <v>120</v>
      </c>
      <c r="B16" s="126"/>
      <c r="C16" s="2">
        <f>+'35PMG'!E19</f>
        <v>5451847</v>
      </c>
      <c r="D16" s="131">
        <f>C16*9.19</f>
        <v>50102473.93</v>
      </c>
      <c r="E16" s="84">
        <f>ROUND(C16*0.00085,1)</f>
        <v>4634.1</v>
      </c>
      <c r="F16" s="127">
        <f>E16/E$22</f>
        <v>0.014942255587022253</v>
      </c>
      <c r="G16" s="68"/>
      <c r="H16" s="2">
        <f>+'35PMG'!E60</f>
        <v>40593495</v>
      </c>
      <c r="I16" s="2">
        <f>+H16*9.19</f>
        <v>373054219.04999995</v>
      </c>
      <c r="J16" s="131">
        <f>ROUND(H16*0.00085,0)</f>
        <v>34504</v>
      </c>
      <c r="K16" s="133">
        <f>J16/J$22</f>
        <v>0.013698135244868459</v>
      </c>
      <c r="L16" s="68"/>
      <c r="M16" s="143" t="s">
        <v>91</v>
      </c>
      <c r="N16" s="2"/>
      <c r="O16" s="68"/>
      <c r="P16" s="68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</row>
    <row r="17" spans="1:249" s="125" customFormat="1" ht="12.75">
      <c r="A17" s="145"/>
      <c r="B17" s="126"/>
      <c r="C17" s="2"/>
      <c r="D17" s="131"/>
      <c r="E17" s="84"/>
      <c r="F17" s="127"/>
      <c r="G17" s="68"/>
      <c r="H17" s="2"/>
      <c r="I17" s="2"/>
      <c r="J17" s="131"/>
      <c r="K17" s="133"/>
      <c r="L17" s="68"/>
      <c r="M17" s="143"/>
      <c r="N17" s="2"/>
      <c r="O17" s="68"/>
      <c r="P17" s="68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</row>
    <row r="18" spans="1:249" s="125" customFormat="1" ht="12.75">
      <c r="A18" s="145" t="s">
        <v>105</v>
      </c>
      <c r="B18" s="126"/>
      <c r="C18" s="2">
        <f>+'35PMG'!F19</f>
        <v>6320934</v>
      </c>
      <c r="D18" s="131">
        <f>C18*9.083</f>
        <v>57413043.522</v>
      </c>
      <c r="E18" s="84">
        <f>ROUND(C18*0.00085,1)</f>
        <v>5372.8</v>
      </c>
      <c r="F18" s="127">
        <f>E18/E$22</f>
        <v>0.017324129996753018</v>
      </c>
      <c r="G18" s="68"/>
      <c r="H18" s="2">
        <f>+'35PMG'!F60</f>
        <v>66227090</v>
      </c>
      <c r="I18" s="2">
        <f>+H18*9.083</f>
        <v>601540658.47</v>
      </c>
      <c r="J18" s="131">
        <f>ROUND(H18*0.00085,0)</f>
        <v>56293</v>
      </c>
      <c r="K18" s="133">
        <f>J18/J$22</f>
        <v>0.022348398079624975</v>
      </c>
      <c r="L18" s="68"/>
      <c r="M18" s="143" t="s">
        <v>91</v>
      </c>
      <c r="N18" s="2"/>
      <c r="O18" s="68"/>
      <c r="P18" s="68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</row>
    <row r="19" spans="1:249" s="125" customFormat="1" ht="12.75">
      <c r="A19" s="145"/>
      <c r="B19" s="126"/>
      <c r="C19" s="2"/>
      <c r="D19" s="131"/>
      <c r="E19" s="84"/>
      <c r="F19" s="127"/>
      <c r="G19" s="68"/>
      <c r="H19" s="2"/>
      <c r="I19" s="2"/>
      <c r="J19" s="131"/>
      <c r="K19" s="133"/>
      <c r="L19" s="68"/>
      <c r="M19" s="143"/>
      <c r="N19" s="2"/>
      <c r="O19" s="68"/>
      <c r="P19" s="68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</row>
    <row r="20" spans="1:249" s="125" customFormat="1" ht="12.75">
      <c r="A20" s="145" t="s">
        <v>149</v>
      </c>
      <c r="B20" s="126"/>
      <c r="C20" s="2">
        <f>+'35PMG'!G19</f>
        <v>16819386</v>
      </c>
      <c r="D20" s="131">
        <f>C20*9.1</f>
        <v>153056412.6</v>
      </c>
      <c r="E20" s="84">
        <f>ROUND(C20*0.00085,1)</f>
        <v>14296.5</v>
      </c>
      <c r="F20" s="127">
        <f>E20/E$22</f>
        <v>0.04609783064669809</v>
      </c>
      <c r="G20" s="68"/>
      <c r="H20" s="2">
        <f>+'35PMG'!G60</f>
        <v>44776393</v>
      </c>
      <c r="I20" s="131">
        <f>H20*9.1</f>
        <v>407465176.3</v>
      </c>
      <c r="J20" s="131">
        <f>ROUND(H20*0.00085,0)</f>
        <v>38060</v>
      </c>
      <c r="K20" s="133">
        <f>J20/J$22</f>
        <v>0.015109872113948921</v>
      </c>
      <c r="L20" s="68"/>
      <c r="M20" s="143" t="s">
        <v>172</v>
      </c>
      <c r="N20" s="2"/>
      <c r="O20" s="68"/>
      <c r="P20" s="6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</row>
    <row r="21" spans="1:249" s="125" customFormat="1" ht="12.75">
      <c r="A21" s="145"/>
      <c r="B21" s="126"/>
      <c r="C21" s="2"/>
      <c r="D21" s="2"/>
      <c r="E21" s="81"/>
      <c r="F21" s="132"/>
      <c r="G21" s="68"/>
      <c r="H21" s="2"/>
      <c r="I21" s="2"/>
      <c r="J21" s="2"/>
      <c r="K21" s="134"/>
      <c r="L21" s="68"/>
      <c r="M21" s="70"/>
      <c r="N21" s="2"/>
      <c r="O21" s="68"/>
      <c r="P21" s="68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</row>
    <row r="22" spans="1:249" s="125" customFormat="1" ht="12.75">
      <c r="A22" s="150" t="s">
        <v>14</v>
      </c>
      <c r="B22" s="151"/>
      <c r="C22" s="163">
        <f>SUM(C12:C21)</f>
        <v>364863426</v>
      </c>
      <c r="D22" s="163">
        <f>SUM(D12:D21)</f>
        <v>3454159153.9519997</v>
      </c>
      <c r="E22" s="164">
        <f>SUM(E12:E21)</f>
        <v>310133.89999999997</v>
      </c>
      <c r="F22" s="165">
        <f>SUM(F12:F21)</f>
        <v>1.0000000000000002</v>
      </c>
      <c r="G22" s="152"/>
      <c r="H22" s="163">
        <f>SUM(H12:H21)</f>
        <v>2963393396</v>
      </c>
      <c r="I22" s="163">
        <f>SUM(I12:I21)</f>
        <v>28041764995.82</v>
      </c>
      <c r="J22" s="163">
        <f>SUM(J12:J21)</f>
        <v>2518883</v>
      </c>
      <c r="K22" s="165">
        <f>SUM(K12:K21)</f>
        <v>0.9999999999999999</v>
      </c>
      <c r="L22" s="152"/>
      <c r="M22" s="153" t="s">
        <v>15</v>
      </c>
      <c r="N22" s="2"/>
      <c r="O22" s="68"/>
      <c r="P22" s="68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</row>
    <row r="23" spans="1:249" s="125" customFormat="1" ht="12.75">
      <c r="A23" s="142"/>
      <c r="B23" s="126"/>
      <c r="C23" s="131"/>
      <c r="D23" s="131"/>
      <c r="E23" s="131"/>
      <c r="F23" s="127"/>
      <c r="G23" s="68"/>
      <c r="H23" s="131"/>
      <c r="I23" s="131"/>
      <c r="J23" s="131"/>
      <c r="K23" s="127"/>
      <c r="L23" s="68"/>
      <c r="M23" s="143"/>
      <c r="N23" s="2"/>
      <c r="O23" s="68"/>
      <c r="P23" s="68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</row>
    <row r="24" spans="1:249" s="125" customFormat="1" ht="12.75">
      <c r="A24" s="359" t="s">
        <v>188</v>
      </c>
      <c r="B24" s="128"/>
      <c r="C24" s="131"/>
      <c r="D24" s="131"/>
      <c r="E24" s="131"/>
      <c r="F24" s="127"/>
      <c r="G24" s="68"/>
      <c r="H24" s="131"/>
      <c r="I24" s="131"/>
      <c r="J24" s="131"/>
      <c r="K24" s="127"/>
      <c r="L24" s="68"/>
      <c r="M24" s="143"/>
      <c r="N24" s="2"/>
      <c r="O24" s="68"/>
      <c r="P24" s="68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</row>
    <row r="25" spans="1:249" s="125" customFormat="1" ht="13.5" thickBot="1">
      <c r="A25" s="146"/>
      <c r="B25" s="147"/>
      <c r="C25" s="148"/>
      <c r="D25" s="148"/>
      <c r="E25" s="149"/>
      <c r="F25" s="148"/>
      <c r="G25" s="148"/>
      <c r="H25" s="148"/>
      <c r="I25" s="148"/>
      <c r="J25" s="148"/>
      <c r="K25" s="148"/>
      <c r="L25" s="148"/>
      <c r="M25" s="72"/>
      <c r="N25" s="2"/>
      <c r="O25" s="68"/>
      <c r="P25" s="68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</row>
    <row r="26" spans="1:249" s="125" customFormat="1" ht="13.5" thickTop="1">
      <c r="A26" s="129"/>
      <c r="B26" s="126"/>
      <c r="C26" s="68"/>
      <c r="D26" s="68"/>
      <c r="E26" s="131"/>
      <c r="F26" s="68"/>
      <c r="G26" s="68"/>
      <c r="H26" s="68"/>
      <c r="I26" s="68"/>
      <c r="J26" s="68"/>
      <c r="K26" s="68"/>
      <c r="L26" s="68"/>
      <c r="M26" s="68"/>
      <c r="N26" s="2"/>
      <c r="O26" s="68"/>
      <c r="P26" s="68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</row>
    <row r="27" spans="1:249" s="125" customFormat="1" ht="12.75">
      <c r="A27" s="358" t="s">
        <v>104</v>
      </c>
      <c r="B27" s="80" t="s">
        <v>111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8"/>
      <c r="O27" s="68"/>
      <c r="P27" s="68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</row>
    <row r="28" spans="1:249" s="125" customFormat="1" ht="12.75">
      <c r="A28" s="358"/>
      <c r="B28" s="80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</row>
    <row r="29" spans="1:249" s="125" customFormat="1" ht="12.75">
      <c r="A29" s="355" t="s">
        <v>100</v>
      </c>
      <c r="B29" s="80" t="s">
        <v>112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</row>
    <row r="30" spans="1:16" s="125" customFormat="1" ht="12.75">
      <c r="A30" s="355"/>
      <c r="B30" s="8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25" customFormat="1" ht="12.75">
      <c r="A31" s="355" t="s">
        <v>101</v>
      </c>
      <c r="B31" s="80" t="s">
        <v>134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25" customFormat="1" ht="12.75">
      <c r="A32" s="355"/>
      <c r="B32" s="8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25" customFormat="1" ht="12.75">
      <c r="A33" s="355" t="s">
        <v>102</v>
      </c>
      <c r="B33" s="80" t="s">
        <v>114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25" customFormat="1" ht="12.75">
      <c r="A34" s="355"/>
      <c r="B34" s="8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25" customFormat="1" ht="12.75">
      <c r="A35" s="355" t="s">
        <v>103</v>
      </c>
      <c r="B35" s="80" t="s">
        <v>113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s="125" customFormat="1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25" customFormat="1" ht="12.75">
      <c r="A37" s="355" t="s">
        <v>150</v>
      </c>
      <c r="B37" s="125" t="s">
        <v>151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s="125" customFormat="1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s="125" customFormat="1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s="125" customFormat="1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s="125" customFormat="1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s="125" customFormat="1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s="125" customFormat="1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s="125" customFormat="1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r:id="rId1"/>
  <headerFooter alignWithMargins="0">
    <oddFooter>&amp;C&amp;9 3.4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64"/>
  <sheetViews>
    <sheetView workbookViewId="0" topLeftCell="A1">
      <selection activeCell="I14" sqref="I14"/>
    </sheetView>
  </sheetViews>
  <sheetFormatPr defaultColWidth="11.421875" defaultRowHeight="12" customHeight="1"/>
  <cols>
    <col min="1" max="1" width="1.7109375" style="377" customWidth="1"/>
    <col min="2" max="2" width="23.00390625" style="377" customWidth="1"/>
    <col min="3" max="4" width="12.7109375" style="377" customWidth="1"/>
    <col min="5" max="5" width="11.7109375" style="377" customWidth="1"/>
    <col min="6" max="6" width="13.7109375" style="377" customWidth="1"/>
    <col min="7" max="7" width="11.7109375" style="377" customWidth="1"/>
    <col min="8" max="16384" width="11.421875" style="377" customWidth="1"/>
  </cols>
  <sheetData>
    <row r="1" spans="2:7" ht="15.75" customHeight="1">
      <c r="B1" s="382" t="s">
        <v>135</v>
      </c>
      <c r="C1" s="382"/>
      <c r="D1" s="382"/>
      <c r="E1" s="382"/>
      <c r="F1" s="382"/>
      <c r="G1" s="383"/>
    </row>
    <row r="4" ht="12" customHeight="1" thickBot="1"/>
    <row r="5" spans="2:8" ht="12" customHeight="1" thickTop="1">
      <c r="B5" s="384"/>
      <c r="C5" s="385" t="s">
        <v>33</v>
      </c>
      <c r="D5" s="385" t="s">
        <v>136</v>
      </c>
      <c r="E5" s="385" t="s">
        <v>89</v>
      </c>
      <c r="F5" s="386" t="s">
        <v>90</v>
      </c>
      <c r="G5" s="386" t="s">
        <v>153</v>
      </c>
      <c r="H5" s="387" t="s">
        <v>14</v>
      </c>
    </row>
    <row r="6" spans="2:8" ht="12" customHeight="1">
      <c r="B6" s="388"/>
      <c r="C6" s="389" t="s">
        <v>152</v>
      </c>
      <c r="D6" s="389" t="s">
        <v>152</v>
      </c>
      <c r="E6" s="389" t="s">
        <v>152</v>
      </c>
      <c r="F6" s="389" t="s">
        <v>152</v>
      </c>
      <c r="G6" s="389" t="s">
        <v>152</v>
      </c>
      <c r="H6" s="390" t="s">
        <v>152</v>
      </c>
    </row>
    <row r="7" spans="2:8" ht="12" customHeight="1">
      <c r="B7" s="391" t="s">
        <v>19</v>
      </c>
      <c r="C7" s="416">
        <f>3127308+502464</f>
        <v>3629772</v>
      </c>
      <c r="D7" s="416">
        <v>38813610</v>
      </c>
      <c r="E7" s="416">
        <f>464380+6031</f>
        <v>470411</v>
      </c>
      <c r="F7" s="417">
        <v>1157186</v>
      </c>
      <c r="G7" s="392">
        <v>1534563</v>
      </c>
      <c r="H7" s="393">
        <f>SUM(C7:G7)</f>
        <v>45605542</v>
      </c>
    </row>
    <row r="8" spans="2:8" ht="12" customHeight="1">
      <c r="B8" s="373" t="s">
        <v>20</v>
      </c>
      <c r="C8" s="418">
        <f>2909124+436168</f>
        <v>3345292</v>
      </c>
      <c r="D8" s="418">
        <v>34700963</v>
      </c>
      <c r="E8" s="418">
        <f>397841+5495</f>
        <v>403336</v>
      </c>
      <c r="F8" s="419">
        <f>712818+360868</f>
        <v>1073686</v>
      </c>
      <c r="G8" s="375">
        <v>1432820</v>
      </c>
      <c r="H8" s="376">
        <f>SUM(C8:G8)</f>
        <v>40956097</v>
      </c>
    </row>
    <row r="9" spans="2:8" ht="12" customHeight="1">
      <c r="B9" s="373" t="s">
        <v>21</v>
      </c>
      <c r="C9" s="418">
        <f>3260918+390540</f>
        <v>3651458</v>
      </c>
      <c r="D9" s="418">
        <v>35458143</v>
      </c>
      <c r="E9" s="418">
        <f>464348+8601</f>
        <v>472949</v>
      </c>
      <c r="F9" s="419">
        <f>627742+390204</f>
        <v>1017946</v>
      </c>
      <c r="G9" s="375">
        <v>1552761</v>
      </c>
      <c r="H9" s="376">
        <f aca="true" t="shared" si="0" ref="H9:H17">SUM(C9:G9)</f>
        <v>42153257</v>
      </c>
    </row>
    <row r="10" spans="2:8" ht="12" customHeight="1">
      <c r="B10" s="373" t="s">
        <v>22</v>
      </c>
      <c r="C10" s="420">
        <f>2641051+62009</f>
        <v>2703060</v>
      </c>
      <c r="D10" s="420">
        <v>32824326</v>
      </c>
      <c r="E10" s="418">
        <f>496172+1943</f>
        <v>498115</v>
      </c>
      <c r="F10" s="421">
        <v>882472</v>
      </c>
      <c r="G10" s="374">
        <v>1477533</v>
      </c>
      <c r="H10" s="376">
        <f t="shared" si="0"/>
        <v>38385506</v>
      </c>
    </row>
    <row r="11" spans="2:8" ht="12" customHeight="1">
      <c r="B11" s="395" t="s">
        <v>23</v>
      </c>
      <c r="C11" s="420">
        <f>2094273+201559</f>
        <v>2295832</v>
      </c>
      <c r="D11" s="418">
        <v>32685779</v>
      </c>
      <c r="E11" s="418">
        <f>493366+8197</f>
        <v>501563</v>
      </c>
      <c r="F11" s="419">
        <v>495940</v>
      </c>
      <c r="G11" s="375">
        <v>1352810</v>
      </c>
      <c r="H11" s="376">
        <f t="shared" si="0"/>
        <v>37331924</v>
      </c>
    </row>
    <row r="12" spans="2:8" ht="12" customHeight="1">
      <c r="B12" s="395" t="s">
        <v>24</v>
      </c>
      <c r="C12" s="375">
        <f>2149232+103690</f>
        <v>2252922</v>
      </c>
      <c r="D12" s="375">
        <v>28902716</v>
      </c>
      <c r="E12" s="375">
        <f>439743+6156</f>
        <v>445899</v>
      </c>
      <c r="F12" s="394">
        <v>265696</v>
      </c>
      <c r="G12" s="375">
        <v>1266953</v>
      </c>
      <c r="H12" s="376">
        <f t="shared" si="0"/>
        <v>33134186</v>
      </c>
    </row>
    <row r="13" spans="2:8" ht="12" customHeight="1">
      <c r="B13" s="395" t="s">
        <v>25</v>
      </c>
      <c r="C13" s="375">
        <v>0</v>
      </c>
      <c r="D13" s="375">
        <v>21931851</v>
      </c>
      <c r="E13" s="375">
        <f>400019+6045</f>
        <v>406064</v>
      </c>
      <c r="F13" s="394">
        <v>263585</v>
      </c>
      <c r="G13" s="375">
        <v>1317781</v>
      </c>
      <c r="H13" s="376">
        <f t="shared" si="0"/>
        <v>23919281</v>
      </c>
    </row>
    <row r="14" spans="2:9" ht="12" customHeight="1">
      <c r="B14" s="395" t="s">
        <v>26</v>
      </c>
      <c r="C14" s="375">
        <v>0</v>
      </c>
      <c r="D14" s="375">
        <v>20156581</v>
      </c>
      <c r="E14" s="375">
        <f>449362+5868</f>
        <v>455230</v>
      </c>
      <c r="F14" s="394">
        <f>230805</f>
        <v>230805</v>
      </c>
      <c r="G14" s="375">
        <v>1433437</v>
      </c>
      <c r="H14" s="376">
        <f t="shared" si="0"/>
        <v>22276053</v>
      </c>
      <c r="I14" s="437">
        <f>230805</f>
        <v>230805</v>
      </c>
    </row>
    <row r="15" spans="2:9" ht="12" customHeight="1">
      <c r="B15" s="395" t="s">
        <v>27</v>
      </c>
      <c r="C15" s="375">
        <v>0</v>
      </c>
      <c r="D15" s="375">
        <v>18863538</v>
      </c>
      <c r="E15" s="375">
        <f>438253+5740</f>
        <v>443993</v>
      </c>
      <c r="F15" s="394">
        <f>171348+77300</f>
        <v>248648</v>
      </c>
      <c r="G15" s="375">
        <v>1538255</v>
      </c>
      <c r="H15" s="376">
        <f t="shared" si="0"/>
        <v>21094434</v>
      </c>
      <c r="I15" s="437">
        <f>171348+77300</f>
        <v>248648</v>
      </c>
    </row>
    <row r="16" spans="2:9" ht="12" customHeight="1">
      <c r="B16" s="395" t="s">
        <v>28</v>
      </c>
      <c r="C16" s="375">
        <v>0</v>
      </c>
      <c r="D16" s="375">
        <v>18612305</v>
      </c>
      <c r="E16" s="375">
        <f>458115+2676</f>
        <v>460791</v>
      </c>
      <c r="F16" s="394">
        <f>47560+178642</f>
        <v>226202</v>
      </c>
      <c r="G16" s="375">
        <v>1332925</v>
      </c>
      <c r="H16" s="376">
        <f t="shared" si="0"/>
        <v>20632223</v>
      </c>
      <c r="I16" s="377" t="s">
        <v>193</v>
      </c>
    </row>
    <row r="17" spans="2:8" ht="12" customHeight="1">
      <c r="B17" s="395" t="s">
        <v>29</v>
      </c>
      <c r="C17" s="375">
        <v>0</v>
      </c>
      <c r="D17" s="375">
        <v>16691253</v>
      </c>
      <c r="E17" s="375">
        <f>433786+6275</f>
        <v>440061</v>
      </c>
      <c r="F17" s="394">
        <f>230805</f>
        <v>230805</v>
      </c>
      <c r="G17" s="375">
        <v>1040807</v>
      </c>
      <c r="H17" s="376">
        <f t="shared" si="0"/>
        <v>18402926</v>
      </c>
    </row>
    <row r="18" spans="2:8" ht="12" customHeight="1">
      <c r="B18" s="395" t="s">
        <v>30</v>
      </c>
      <c r="C18" s="375">
        <f>1916396+0</f>
        <v>1916396</v>
      </c>
      <c r="D18" s="375">
        <v>16835462</v>
      </c>
      <c r="E18" s="375">
        <f>448055+5380</f>
        <v>453435</v>
      </c>
      <c r="F18" s="394">
        <f>51039+176924</f>
        <v>227963</v>
      </c>
      <c r="G18" s="396">
        <v>1538741</v>
      </c>
      <c r="H18" s="376">
        <f>SUM(C18:G18)</f>
        <v>20971997</v>
      </c>
    </row>
    <row r="19" spans="2:8" ht="12" customHeight="1" thickBot="1">
      <c r="B19" s="397" t="s">
        <v>14</v>
      </c>
      <c r="C19" s="398">
        <f aca="true" t="shared" si="1" ref="C19:H19">SUM(C7:C18)</f>
        <v>19794732</v>
      </c>
      <c r="D19" s="398">
        <f t="shared" si="1"/>
        <v>316476527</v>
      </c>
      <c r="E19" s="398">
        <f t="shared" si="1"/>
        <v>5451847</v>
      </c>
      <c r="F19" s="399">
        <f t="shared" si="1"/>
        <v>6320934</v>
      </c>
      <c r="G19" s="399">
        <f t="shared" si="1"/>
        <v>16819386</v>
      </c>
      <c r="H19" s="400">
        <f t="shared" si="1"/>
        <v>364863426</v>
      </c>
    </row>
    <row r="20" spans="2:7" ht="12" customHeight="1" thickTop="1">
      <c r="B20" s="401"/>
      <c r="C20" s="401"/>
      <c r="D20" s="401"/>
      <c r="E20" s="401"/>
      <c r="F20" s="401"/>
      <c r="G20" s="401"/>
    </row>
    <row r="21" spans="2:7" ht="12" customHeight="1">
      <c r="B21" s="401"/>
      <c r="C21" s="401"/>
      <c r="D21" s="401"/>
      <c r="E21" s="401"/>
      <c r="F21" s="401"/>
      <c r="G21" s="401"/>
    </row>
    <row r="22" spans="2:7" ht="12" customHeight="1">
      <c r="B22" s="401"/>
      <c r="C22" s="401"/>
      <c r="D22" s="401"/>
      <c r="E22" s="401"/>
      <c r="F22" s="401"/>
      <c r="G22" s="401"/>
    </row>
    <row r="23" spans="2:7" ht="12" customHeight="1">
      <c r="B23" s="401"/>
      <c r="C23" s="401"/>
      <c r="D23" s="401"/>
      <c r="E23" s="401"/>
      <c r="F23" s="401"/>
      <c r="G23" s="401"/>
    </row>
    <row r="24" spans="2:7" ht="12" customHeight="1">
      <c r="B24" s="401"/>
      <c r="C24" s="401"/>
      <c r="D24" s="401"/>
      <c r="E24" s="401"/>
      <c r="F24" s="401"/>
      <c r="G24" s="401"/>
    </row>
    <row r="25" spans="2:7" ht="12" customHeight="1">
      <c r="B25" s="401"/>
      <c r="C25" s="401"/>
      <c r="D25" s="401"/>
      <c r="E25" s="401"/>
      <c r="F25" s="401"/>
      <c r="G25" s="401"/>
    </row>
    <row r="26" spans="2:7" ht="12" customHeight="1">
      <c r="B26" s="401"/>
      <c r="C26" s="401"/>
      <c r="D26" s="401"/>
      <c r="E26" s="401"/>
      <c r="F26" s="401"/>
      <c r="G26" s="401"/>
    </row>
    <row r="27" spans="2:7" ht="12" customHeight="1">
      <c r="B27" s="401"/>
      <c r="C27" s="401"/>
      <c r="D27" s="401"/>
      <c r="E27" s="401"/>
      <c r="F27" s="401"/>
      <c r="G27" s="401"/>
    </row>
    <row r="28" spans="2:7" ht="12" customHeight="1">
      <c r="B28" s="401"/>
      <c r="C28" s="401"/>
      <c r="D28" s="401"/>
      <c r="E28" s="401"/>
      <c r="F28" s="401"/>
      <c r="G28" s="401"/>
    </row>
    <row r="29" spans="2:7" ht="12" customHeight="1">
      <c r="B29" s="401"/>
      <c r="C29" s="401"/>
      <c r="D29" s="401"/>
      <c r="E29" s="401"/>
      <c r="F29" s="401"/>
      <c r="G29" s="401"/>
    </row>
    <row r="30" spans="2:7" ht="12" customHeight="1">
      <c r="B30" s="401"/>
      <c r="C30" s="401"/>
      <c r="D30" s="401"/>
      <c r="E30" s="401"/>
      <c r="F30" s="401"/>
      <c r="G30" s="401"/>
    </row>
    <row r="31" spans="2:7" ht="12" customHeight="1">
      <c r="B31" s="401"/>
      <c r="C31" s="401"/>
      <c r="D31" s="401"/>
      <c r="E31" s="401"/>
      <c r="F31" s="401"/>
      <c r="G31" s="401"/>
    </row>
    <row r="32" spans="2:7" ht="12" customHeight="1">
      <c r="B32" s="401"/>
      <c r="C32" s="401"/>
      <c r="D32" s="401"/>
      <c r="E32" s="401"/>
      <c r="F32" s="401"/>
      <c r="G32" s="401"/>
    </row>
    <row r="33" spans="2:7" ht="12" customHeight="1">
      <c r="B33" s="401"/>
      <c r="C33" s="401"/>
      <c r="D33" s="401"/>
      <c r="E33" s="401"/>
      <c r="F33" s="401"/>
      <c r="G33" s="401"/>
    </row>
    <row r="34" spans="2:7" ht="12" customHeight="1">
      <c r="B34" s="401"/>
      <c r="C34" s="401"/>
      <c r="D34" s="401"/>
      <c r="E34" s="401"/>
      <c r="F34" s="401"/>
      <c r="G34" s="401"/>
    </row>
    <row r="35" spans="2:7" ht="12" customHeight="1">
      <c r="B35" s="401"/>
      <c r="C35" s="401"/>
      <c r="D35" s="401"/>
      <c r="E35" s="401"/>
      <c r="F35" s="401"/>
      <c r="G35" s="401"/>
    </row>
    <row r="36" spans="2:7" ht="12" customHeight="1">
      <c r="B36" s="401"/>
      <c r="C36" s="401"/>
      <c r="D36" s="401"/>
      <c r="E36" s="401"/>
      <c r="F36" s="401"/>
      <c r="G36" s="401"/>
    </row>
    <row r="37" spans="2:7" ht="12" customHeight="1">
      <c r="B37" s="402"/>
      <c r="C37" s="402"/>
      <c r="D37" s="402"/>
      <c r="E37" s="402"/>
      <c r="F37" s="402"/>
      <c r="G37" s="402"/>
    </row>
    <row r="38" spans="2:7" ht="12" customHeight="1">
      <c r="B38" s="402"/>
      <c r="C38" s="402"/>
      <c r="D38" s="402"/>
      <c r="E38" s="402"/>
      <c r="F38" s="402"/>
      <c r="G38" s="402"/>
    </row>
    <row r="39" spans="2:7" ht="12" customHeight="1">
      <c r="B39" s="402"/>
      <c r="C39" s="402"/>
      <c r="D39" s="402"/>
      <c r="E39" s="402"/>
      <c r="F39" s="402"/>
      <c r="G39" s="402"/>
    </row>
    <row r="40" spans="2:7" ht="12" customHeight="1">
      <c r="B40" s="402"/>
      <c r="C40" s="402"/>
      <c r="D40" s="402"/>
      <c r="E40" s="402"/>
      <c r="F40" s="402"/>
      <c r="G40" s="402"/>
    </row>
    <row r="41" spans="2:7" ht="12" customHeight="1">
      <c r="B41" s="402"/>
      <c r="C41" s="402"/>
      <c r="D41" s="402"/>
      <c r="E41" s="402"/>
      <c r="F41" s="402"/>
      <c r="G41" s="402"/>
    </row>
    <row r="42" spans="2:7" ht="12" customHeight="1">
      <c r="B42" s="402"/>
      <c r="C42" s="402"/>
      <c r="D42" s="402"/>
      <c r="E42" s="402"/>
      <c r="F42" s="402"/>
      <c r="G42" s="402"/>
    </row>
    <row r="43" spans="2:4" ht="12" customHeight="1">
      <c r="B43" s="401"/>
      <c r="C43" s="401"/>
      <c r="D43" s="401"/>
    </row>
    <row r="44" spans="2:4" ht="12" customHeight="1" thickBot="1">
      <c r="B44" s="402"/>
      <c r="C44" s="402"/>
      <c r="D44" s="402"/>
    </row>
    <row r="45" spans="2:7" ht="12" customHeight="1" thickTop="1">
      <c r="B45" s="403"/>
      <c r="C45" s="441" t="s">
        <v>137</v>
      </c>
      <c r="D45" s="442"/>
      <c r="E45" s="442"/>
      <c r="F45" s="442"/>
      <c r="G45" s="443"/>
    </row>
    <row r="46" spans="2:7" ht="12" customHeight="1">
      <c r="B46" s="404"/>
      <c r="C46" s="405" t="s">
        <v>33</v>
      </c>
      <c r="D46" s="405" t="s">
        <v>136</v>
      </c>
      <c r="E46" s="405" t="s">
        <v>89</v>
      </c>
      <c r="F46" s="406" t="s">
        <v>90</v>
      </c>
      <c r="G46" s="407" t="s">
        <v>153</v>
      </c>
    </row>
    <row r="47" spans="2:7" ht="12" customHeight="1">
      <c r="B47" s="408"/>
      <c r="C47" s="389" t="s">
        <v>152</v>
      </c>
      <c r="D47" s="389" t="s">
        <v>152</v>
      </c>
      <c r="E47" s="389" t="s">
        <v>152</v>
      </c>
      <c r="F47" s="409" t="s">
        <v>152</v>
      </c>
      <c r="G47" s="390" t="s">
        <v>152</v>
      </c>
    </row>
    <row r="48" spans="2:7" ht="12" customHeight="1">
      <c r="B48" s="422" t="s">
        <v>170</v>
      </c>
      <c r="C48" s="416">
        <v>1027425848</v>
      </c>
      <c r="D48" s="416">
        <v>1448099311</v>
      </c>
      <c r="E48" s="416">
        <v>35141648</v>
      </c>
      <c r="F48" s="423">
        <v>59906156</v>
      </c>
      <c r="G48" s="424">
        <v>27957007</v>
      </c>
    </row>
    <row r="49" spans="2:7" ht="12" customHeight="1">
      <c r="B49" s="410" t="s">
        <v>19</v>
      </c>
      <c r="C49" s="411">
        <f aca="true" t="shared" si="2" ref="C49:C60">+C48+C7</f>
        <v>1031055620</v>
      </c>
      <c r="D49" s="411">
        <f aca="true" t="shared" si="3" ref="D49:D60">+D48+D7</f>
        <v>1486912921</v>
      </c>
      <c r="E49" s="411">
        <f aca="true" t="shared" si="4" ref="E49:E60">+E48+E7</f>
        <v>35612059</v>
      </c>
      <c r="F49" s="412">
        <f aca="true" t="shared" si="5" ref="F49:G60">+F48+F7</f>
        <v>61063342</v>
      </c>
      <c r="G49" s="413">
        <f t="shared" si="5"/>
        <v>29491570</v>
      </c>
    </row>
    <row r="50" spans="2:7" ht="12" customHeight="1">
      <c r="B50" s="410" t="s">
        <v>20</v>
      </c>
      <c r="C50" s="411">
        <f t="shared" si="2"/>
        <v>1034400912</v>
      </c>
      <c r="D50" s="411">
        <f t="shared" si="3"/>
        <v>1521613884</v>
      </c>
      <c r="E50" s="411">
        <f t="shared" si="4"/>
        <v>36015395</v>
      </c>
      <c r="F50" s="412">
        <f t="shared" si="5"/>
        <v>62137028</v>
      </c>
      <c r="G50" s="413">
        <f t="shared" si="5"/>
        <v>30924390</v>
      </c>
    </row>
    <row r="51" spans="2:7" ht="12" customHeight="1">
      <c r="B51" s="410" t="s">
        <v>21</v>
      </c>
      <c r="C51" s="411">
        <f t="shared" si="2"/>
        <v>1038052370</v>
      </c>
      <c r="D51" s="411">
        <f t="shared" si="3"/>
        <v>1557072027</v>
      </c>
      <c r="E51" s="411">
        <f t="shared" si="4"/>
        <v>36488344</v>
      </c>
      <c r="F51" s="412">
        <f t="shared" si="5"/>
        <v>63154974</v>
      </c>
      <c r="G51" s="413">
        <f t="shared" si="5"/>
        <v>32477151</v>
      </c>
    </row>
    <row r="52" spans="2:7" ht="12" customHeight="1">
      <c r="B52" s="410" t="s">
        <v>22</v>
      </c>
      <c r="C52" s="411">
        <f t="shared" si="2"/>
        <v>1040755430</v>
      </c>
      <c r="D52" s="411">
        <f t="shared" si="3"/>
        <v>1589896353</v>
      </c>
      <c r="E52" s="411">
        <f t="shared" si="4"/>
        <v>36986459</v>
      </c>
      <c r="F52" s="412">
        <f t="shared" si="5"/>
        <v>64037446</v>
      </c>
      <c r="G52" s="413">
        <f aca="true" t="shared" si="6" ref="G52:G60">+G51+G10</f>
        <v>33954684</v>
      </c>
    </row>
    <row r="53" spans="2:7" ht="12" customHeight="1">
      <c r="B53" s="410" t="s">
        <v>23</v>
      </c>
      <c r="C53" s="411">
        <f t="shared" si="2"/>
        <v>1043051262</v>
      </c>
      <c r="D53" s="411">
        <f t="shared" si="3"/>
        <v>1622582132</v>
      </c>
      <c r="E53" s="411">
        <f t="shared" si="4"/>
        <v>37488022</v>
      </c>
      <c r="F53" s="412">
        <f t="shared" si="5"/>
        <v>64533386</v>
      </c>
      <c r="G53" s="413">
        <f t="shared" si="6"/>
        <v>35307494</v>
      </c>
    </row>
    <row r="54" spans="2:7" ht="12" customHeight="1">
      <c r="B54" s="410" t="s">
        <v>24</v>
      </c>
      <c r="C54" s="411">
        <f t="shared" si="2"/>
        <v>1045304184</v>
      </c>
      <c r="D54" s="411">
        <f t="shared" si="3"/>
        <v>1651484848</v>
      </c>
      <c r="E54" s="411">
        <f t="shared" si="4"/>
        <v>37933921</v>
      </c>
      <c r="F54" s="412">
        <f t="shared" si="5"/>
        <v>64799082</v>
      </c>
      <c r="G54" s="413">
        <f t="shared" si="6"/>
        <v>36574447</v>
      </c>
    </row>
    <row r="55" spans="2:7" ht="12" customHeight="1">
      <c r="B55" s="410" t="s">
        <v>25</v>
      </c>
      <c r="C55" s="411">
        <f t="shared" si="2"/>
        <v>1045304184</v>
      </c>
      <c r="D55" s="411">
        <f t="shared" si="3"/>
        <v>1673416699</v>
      </c>
      <c r="E55" s="411">
        <f t="shared" si="4"/>
        <v>38339985</v>
      </c>
      <c r="F55" s="412">
        <f t="shared" si="5"/>
        <v>65062667</v>
      </c>
      <c r="G55" s="413">
        <f t="shared" si="6"/>
        <v>37892228</v>
      </c>
    </row>
    <row r="56" spans="2:7" ht="12" customHeight="1">
      <c r="B56" s="410" t="s">
        <v>26</v>
      </c>
      <c r="C56" s="411">
        <f t="shared" si="2"/>
        <v>1045304184</v>
      </c>
      <c r="D56" s="411">
        <f t="shared" si="3"/>
        <v>1693573280</v>
      </c>
      <c r="E56" s="411">
        <f t="shared" si="4"/>
        <v>38795215</v>
      </c>
      <c r="F56" s="412">
        <f t="shared" si="5"/>
        <v>65293472</v>
      </c>
      <c r="G56" s="413">
        <f t="shared" si="6"/>
        <v>39325665</v>
      </c>
    </row>
    <row r="57" spans="2:7" ht="12" customHeight="1">
      <c r="B57" s="410" t="s">
        <v>27</v>
      </c>
      <c r="C57" s="411">
        <f t="shared" si="2"/>
        <v>1045304184</v>
      </c>
      <c r="D57" s="411">
        <f t="shared" si="3"/>
        <v>1712436818</v>
      </c>
      <c r="E57" s="411">
        <f t="shared" si="4"/>
        <v>39239208</v>
      </c>
      <c r="F57" s="412">
        <f t="shared" si="5"/>
        <v>65542120</v>
      </c>
      <c r="G57" s="413">
        <f t="shared" si="6"/>
        <v>40863920</v>
      </c>
    </row>
    <row r="58" spans="2:7" ht="12" customHeight="1">
      <c r="B58" s="410" t="s">
        <v>28</v>
      </c>
      <c r="C58" s="411">
        <f t="shared" si="2"/>
        <v>1045304184</v>
      </c>
      <c r="D58" s="411">
        <f t="shared" si="3"/>
        <v>1731049123</v>
      </c>
      <c r="E58" s="411">
        <f t="shared" si="4"/>
        <v>39699999</v>
      </c>
      <c r="F58" s="412">
        <f t="shared" si="5"/>
        <v>65768322</v>
      </c>
      <c r="G58" s="413">
        <f t="shared" si="6"/>
        <v>42196845</v>
      </c>
    </row>
    <row r="59" spans="2:7" ht="12" customHeight="1">
      <c r="B59" s="410" t="s">
        <v>29</v>
      </c>
      <c r="C59" s="411">
        <f t="shared" si="2"/>
        <v>1045304184</v>
      </c>
      <c r="D59" s="411">
        <f t="shared" si="3"/>
        <v>1747740376</v>
      </c>
      <c r="E59" s="411">
        <f t="shared" si="4"/>
        <v>40140060</v>
      </c>
      <c r="F59" s="412">
        <f t="shared" si="5"/>
        <v>65999127</v>
      </c>
      <c r="G59" s="413">
        <f t="shared" si="6"/>
        <v>43237652</v>
      </c>
    </row>
    <row r="60" spans="2:7" ht="12" customHeight="1" thickBot="1">
      <c r="B60" s="378" t="s">
        <v>30</v>
      </c>
      <c r="C60" s="379">
        <f t="shared" si="2"/>
        <v>1047220580</v>
      </c>
      <c r="D60" s="379">
        <f t="shared" si="3"/>
        <v>1764575838</v>
      </c>
      <c r="E60" s="379">
        <f t="shared" si="4"/>
        <v>40593495</v>
      </c>
      <c r="F60" s="380">
        <f t="shared" si="5"/>
        <v>66227090</v>
      </c>
      <c r="G60" s="381">
        <f t="shared" si="6"/>
        <v>44776393</v>
      </c>
    </row>
    <row r="61" ht="12" customHeight="1" thickTop="1"/>
    <row r="62" spans="2:5" ht="12" customHeight="1">
      <c r="B62" s="425" t="s">
        <v>167</v>
      </c>
      <c r="C62" s="425">
        <f>+C60-289186590</f>
        <v>758033990</v>
      </c>
      <c r="D62" s="425"/>
      <c r="E62" s="425"/>
    </row>
    <row r="63" spans="2:5" ht="12" customHeight="1">
      <c r="B63" s="425" t="s">
        <v>168</v>
      </c>
      <c r="C63" s="425">
        <f>289186590+727173804</f>
        <v>1016360394</v>
      </c>
      <c r="D63" s="425"/>
      <c r="E63" s="425">
        <f>29591895+4362911</f>
        <v>33954806</v>
      </c>
    </row>
    <row r="64" spans="2:5" ht="12" customHeight="1">
      <c r="B64" s="425" t="s">
        <v>169</v>
      </c>
      <c r="C64" s="425">
        <f>+C60-C63</f>
        <v>30860186</v>
      </c>
      <c r="D64" s="425"/>
      <c r="E64" s="425">
        <f>+E63-E60</f>
        <v>-6638689</v>
      </c>
    </row>
  </sheetData>
  <mergeCells count="1">
    <mergeCell ref="C45:G45"/>
  </mergeCells>
  <printOptions horizontalCentered="1"/>
  <pageMargins left="0.1968503937007874" right="0.1968503937007874" top="0.5905511811023623" bottom="0.5905511811023623" header="0.3937007874015748" footer="0.3937007874015748"/>
  <pageSetup horizontalDpi="300" verticalDpi="300" orientation="portrait" paperSize="9" r:id="rId2"/>
  <headerFooter alignWithMargins="0">
    <oddFooter>&amp;C&amp;9 3.5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2">
      <selection activeCell="B16" sqref="B16"/>
    </sheetView>
  </sheetViews>
  <sheetFormatPr defaultColWidth="12.57421875" defaultRowHeight="12.75"/>
  <cols>
    <col min="1" max="1" width="4.7109375" style="80" customWidth="1"/>
    <col min="2" max="2" width="15.7109375" style="80" customWidth="1"/>
    <col min="3" max="3" width="2.7109375" style="80" customWidth="1"/>
    <col min="4" max="4" width="16.7109375" style="80" customWidth="1"/>
    <col min="5" max="5" width="1.7109375" style="80" customWidth="1"/>
    <col min="6" max="6" width="13.7109375" style="80" customWidth="1"/>
    <col min="7" max="7" width="2.7109375" style="80" customWidth="1"/>
    <col min="8" max="8" width="16.7109375" style="80" customWidth="1"/>
    <col min="9" max="9" width="1.7109375" style="80" customWidth="1"/>
    <col min="10" max="10" width="13.7109375" style="80" customWidth="1"/>
    <col min="11" max="11" width="3.7109375" style="80" customWidth="1"/>
    <col min="12" max="16384" width="12.57421875" style="80" customWidth="1"/>
  </cols>
  <sheetData>
    <row r="1" spans="1:3" ht="15.75">
      <c r="A1" s="173" t="s">
        <v>35</v>
      </c>
      <c r="B1" s="85" t="s">
        <v>138</v>
      </c>
      <c r="C1" s="85"/>
    </row>
    <row r="2" spans="2:3" ht="15.75">
      <c r="B2" s="85" t="s">
        <v>36</v>
      </c>
      <c r="C2" s="85"/>
    </row>
    <row r="5" spans="2:3" ht="13.5" thickBot="1">
      <c r="B5"/>
      <c r="C5"/>
    </row>
    <row r="6" spans="1:11" ht="13.5" thickTop="1">
      <c r="A6" s="182"/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12.75">
      <c r="A7" s="183"/>
      <c r="B7" s="89"/>
      <c r="C7" s="89"/>
      <c r="D7" s="154"/>
      <c r="E7" s="90"/>
      <c r="F7" s="90"/>
      <c r="G7" s="90"/>
      <c r="H7" s="92" t="s">
        <v>139</v>
      </c>
      <c r="I7" s="93"/>
      <c r="J7" s="93"/>
      <c r="K7" s="116"/>
    </row>
    <row r="8" spans="1:11" ht="12.75">
      <c r="A8" s="183"/>
      <c r="B8" s="91" t="s">
        <v>1</v>
      </c>
      <c r="C8" s="91"/>
      <c r="D8" s="121" t="s">
        <v>140</v>
      </c>
      <c r="E8" s="121"/>
      <c r="F8" s="123"/>
      <c r="G8" s="90"/>
      <c r="H8" s="121" t="s">
        <v>0</v>
      </c>
      <c r="I8" s="123"/>
      <c r="J8" s="123"/>
      <c r="K8" s="116"/>
    </row>
    <row r="9" spans="1:11" ht="12.75">
      <c r="A9" s="183"/>
      <c r="B9" s="101" t="s">
        <v>3</v>
      </c>
      <c r="C9" s="101"/>
      <c r="D9" s="174" t="s">
        <v>173</v>
      </c>
      <c r="E9" s="175"/>
      <c r="F9" s="174" t="s">
        <v>31</v>
      </c>
      <c r="G9" s="176"/>
      <c r="H9" s="174" t="s">
        <v>173</v>
      </c>
      <c r="I9" s="177"/>
      <c r="J9" s="174" t="s">
        <v>31</v>
      </c>
      <c r="K9" s="116"/>
    </row>
    <row r="10" spans="1:11" ht="12.75">
      <c r="A10" s="183"/>
      <c r="B10" s="81"/>
      <c r="C10" s="81"/>
      <c r="D10" s="81"/>
      <c r="E10" s="81"/>
      <c r="F10" s="81"/>
      <c r="H10" s="81"/>
      <c r="I10" s="81"/>
      <c r="J10" s="81"/>
      <c r="K10" s="116"/>
    </row>
    <row r="11" spans="1:11" ht="12.75">
      <c r="A11" s="183"/>
      <c r="B11" s="178" t="s">
        <v>5</v>
      </c>
      <c r="C11" s="178"/>
      <c r="D11" s="99">
        <f>+'31PP'!C11</f>
        <v>6353</v>
      </c>
      <c r="E11" s="94"/>
      <c r="F11" s="95">
        <f aca="true" t="shared" si="0" ref="F11:F16">D11/D$21*100</f>
        <v>1.1250581964819484</v>
      </c>
      <c r="G11" s="94"/>
      <c r="H11" s="99">
        <f>+'31PP'!G11</f>
        <v>2264745</v>
      </c>
      <c r="I11" s="94"/>
      <c r="J11" s="95">
        <f aca="true" t="shared" si="1" ref="J11:J16">+H11/H$21*100</f>
        <v>8.77734416648028</v>
      </c>
      <c r="K11" s="116"/>
    </row>
    <row r="12" spans="1:11" ht="38.25">
      <c r="A12" s="183"/>
      <c r="B12" s="179" t="s">
        <v>180</v>
      </c>
      <c r="C12" s="179"/>
      <c r="D12" s="362">
        <f>+'31PP'!C14</f>
        <v>173116</v>
      </c>
      <c r="E12" s="100"/>
      <c r="F12" s="186">
        <f t="shared" si="0"/>
        <v>30.657260308857076</v>
      </c>
      <c r="G12" s="94"/>
      <c r="H12" s="180">
        <f>+'31PP'!G14</f>
        <v>19549843</v>
      </c>
      <c r="I12" s="100"/>
      <c r="J12" s="186">
        <f t="shared" si="1"/>
        <v>75.76822132807682</v>
      </c>
      <c r="K12" s="116"/>
    </row>
    <row r="13" spans="1:11" ht="12.75">
      <c r="A13" s="183"/>
      <c r="B13" s="178" t="s">
        <v>154</v>
      </c>
      <c r="C13" s="178"/>
      <c r="D13" s="362">
        <f>+'34PG'!E12</f>
        <v>16825.5</v>
      </c>
      <c r="E13" s="100"/>
      <c r="F13" s="186">
        <f t="shared" si="0"/>
        <v>2.979642166678266</v>
      </c>
      <c r="G13" s="94"/>
      <c r="H13" s="180">
        <f>+'34PG'!J12</f>
        <v>890137</v>
      </c>
      <c r="I13" s="100"/>
      <c r="J13" s="186">
        <f t="shared" si="1"/>
        <v>3.4498536498891745</v>
      </c>
      <c r="K13" s="116"/>
    </row>
    <row r="14" spans="1:11" ht="12.75">
      <c r="A14" s="183"/>
      <c r="B14" s="181" t="s">
        <v>11</v>
      </c>
      <c r="C14" s="181"/>
      <c r="D14" s="362">
        <f>+'31PP'!C17</f>
        <v>54551</v>
      </c>
      <c r="E14" s="100"/>
      <c r="F14" s="186">
        <f t="shared" si="0"/>
        <v>9.660483185311943</v>
      </c>
      <c r="G14" s="94"/>
      <c r="H14" s="180">
        <f>+'31PP'!G17</f>
        <v>839971</v>
      </c>
      <c r="I14" s="100"/>
      <c r="J14" s="186">
        <f t="shared" si="1"/>
        <v>3.2554281196614223</v>
      </c>
      <c r="K14" s="116"/>
    </row>
    <row r="15" spans="1:11" ht="38.25">
      <c r="A15" s="183"/>
      <c r="B15" s="179" t="s">
        <v>181</v>
      </c>
      <c r="C15" s="179"/>
      <c r="D15" s="363">
        <f>+'31PP'!C20</f>
        <v>20528</v>
      </c>
      <c r="E15" s="179"/>
      <c r="F15" s="186">
        <f t="shared" si="0"/>
        <v>3.6353210542076875</v>
      </c>
      <c r="G15" s="179"/>
      <c r="H15" s="179">
        <f>+'31PP'!G20</f>
        <v>628725</v>
      </c>
      <c r="I15" s="179"/>
      <c r="J15" s="186">
        <f t="shared" si="1"/>
        <v>2.4367139395694943</v>
      </c>
      <c r="K15" s="116"/>
    </row>
    <row r="16" spans="1:11" ht="12.75">
      <c r="A16" s="183"/>
      <c r="B16" s="178" t="s">
        <v>155</v>
      </c>
      <c r="C16" s="178"/>
      <c r="D16" s="364">
        <f>+'34PG'!E14</f>
        <v>269005</v>
      </c>
      <c r="E16" s="178"/>
      <c r="F16" s="186">
        <f t="shared" si="0"/>
        <v>47.63832522345767</v>
      </c>
      <c r="G16" s="178"/>
      <c r="H16" s="178">
        <f>+'34PG'!J14</f>
        <v>1499889</v>
      </c>
      <c r="I16" s="178"/>
      <c r="J16" s="186">
        <f t="shared" si="1"/>
        <v>5.813035005935742</v>
      </c>
      <c r="K16" s="116"/>
    </row>
    <row r="17" spans="1:11" ht="12.75">
      <c r="A17" s="183"/>
      <c r="B17" s="178" t="s">
        <v>156</v>
      </c>
      <c r="C17" s="178"/>
      <c r="D17" s="364">
        <f>+'34PG'!E16</f>
        <v>4634.1</v>
      </c>
      <c r="E17" s="178"/>
      <c r="F17" s="186">
        <f>D17/D$21*100</f>
        <v>0.8206567272653861</v>
      </c>
      <c r="G17" s="178"/>
      <c r="H17" s="178">
        <f>+'34PG'!J16</f>
        <v>34504</v>
      </c>
      <c r="I17" s="178"/>
      <c r="J17" s="186">
        <f>+H17/H$21*100</f>
        <v>0.13372520222816944</v>
      </c>
      <c r="K17" s="116"/>
    </row>
    <row r="18" spans="1:11" ht="12.75">
      <c r="A18" s="183"/>
      <c r="B18" s="178" t="s">
        <v>92</v>
      </c>
      <c r="C18" s="178"/>
      <c r="D18" s="364">
        <f>+'34PG'!E18</f>
        <v>5372.8</v>
      </c>
      <c r="E18" s="178"/>
      <c r="F18" s="186">
        <f>D18/D$21*100</f>
        <v>0.9514737412337814</v>
      </c>
      <c r="G18" s="178"/>
      <c r="H18" s="178">
        <f>+'34PG'!J18</f>
        <v>56293</v>
      </c>
      <c r="I18" s="178"/>
      <c r="J18" s="186">
        <f>+H18/H$21*100</f>
        <v>0.2181715977576612</v>
      </c>
      <c r="K18" s="116"/>
    </row>
    <row r="19" spans="1:11" ht="12.75">
      <c r="A19" s="183"/>
      <c r="B19" s="178" t="s">
        <v>157</v>
      </c>
      <c r="C19" s="178"/>
      <c r="D19" s="364">
        <f>+'34PG'!E20</f>
        <v>14296.5</v>
      </c>
      <c r="E19" s="178"/>
      <c r="F19" s="186">
        <f>D19/D$21*100</f>
        <v>2.531779396506245</v>
      </c>
      <c r="G19" s="178"/>
      <c r="H19" s="178">
        <f>+'34PG'!J20</f>
        <v>38060</v>
      </c>
      <c r="I19" s="178"/>
      <c r="J19" s="186">
        <f>+H19/H$21*100</f>
        <v>0.14750699040123258</v>
      </c>
      <c r="K19" s="116"/>
    </row>
    <row r="20" spans="1:11" ht="12.75">
      <c r="A20" s="183"/>
      <c r="B20" s="81"/>
      <c r="C20" s="81"/>
      <c r="D20" s="81"/>
      <c r="E20" s="81"/>
      <c r="F20" s="87"/>
      <c r="H20" s="81"/>
      <c r="I20" s="81"/>
      <c r="J20" s="87"/>
      <c r="K20" s="116"/>
    </row>
    <row r="21" spans="1:11" ht="12.75">
      <c r="A21" s="183"/>
      <c r="B21" s="169" t="s">
        <v>40</v>
      </c>
      <c r="C21" s="169"/>
      <c r="D21" s="164">
        <f>SUM(D11:D20)</f>
        <v>564681.9</v>
      </c>
      <c r="E21" s="170"/>
      <c r="F21" s="171">
        <f>SUM(F11:F20)</f>
        <v>100</v>
      </c>
      <c r="G21" s="170"/>
      <c r="H21" s="164">
        <f>SUM(H11:H20)</f>
        <v>25802167</v>
      </c>
      <c r="I21" s="170"/>
      <c r="J21" s="171">
        <f>SUM(J11:J20)</f>
        <v>99.99999999999999</v>
      </c>
      <c r="K21" s="116"/>
    </row>
    <row r="22" spans="1:11" ht="13.5" thickBot="1">
      <c r="A22" s="184"/>
      <c r="B22" s="118"/>
      <c r="C22" s="118"/>
      <c r="D22" s="119"/>
      <c r="E22" s="119"/>
      <c r="F22" s="119"/>
      <c r="G22" s="119"/>
      <c r="H22" s="119"/>
      <c r="I22" s="119"/>
      <c r="J22" s="119"/>
      <c r="K22" s="185"/>
    </row>
    <row r="23" spans="2:10" ht="13.5" thickTop="1">
      <c r="B23" s="81"/>
      <c r="C23" s="81"/>
      <c r="D23" s="81"/>
      <c r="E23" s="81"/>
      <c r="F23" s="81"/>
      <c r="G23" s="81"/>
      <c r="H23" s="81"/>
      <c r="I23" s="81"/>
      <c r="J23" s="81"/>
    </row>
    <row r="24" spans="2:3" ht="12.75">
      <c r="B24" s="82" t="s">
        <v>141</v>
      </c>
      <c r="C24" s="82"/>
    </row>
    <row r="26" spans="2:3" ht="12.75">
      <c r="B26" s="82" t="s">
        <v>182</v>
      </c>
      <c r="C26" s="82"/>
    </row>
    <row r="27" spans="2:3" ht="12.75">
      <c r="B27" s="82"/>
      <c r="C27" s="82"/>
    </row>
    <row r="104" spans="2:3" ht="12.75">
      <c r="B104" s="82"/>
      <c r="C104" s="82"/>
    </row>
    <row r="107" spans="2:3" ht="12.75">
      <c r="B107" s="82"/>
      <c r="C107" s="82"/>
    </row>
  </sheetData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2"/>
  <headerFooter alignWithMargins="0">
    <oddFooter>&amp;C&amp;9 3.6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20">
      <selection activeCell="B28" sqref="B28"/>
    </sheetView>
  </sheetViews>
  <sheetFormatPr defaultColWidth="12.57421875" defaultRowHeight="12.75"/>
  <cols>
    <col min="1" max="1" width="4.7109375" style="80" customWidth="1"/>
    <col min="2" max="3" width="25.7109375" style="80" customWidth="1"/>
    <col min="4" max="4" width="16.7109375" style="80" customWidth="1"/>
    <col min="5" max="5" width="10.7109375" style="80" customWidth="1"/>
    <col min="6" max="6" width="3.7109375" style="80" customWidth="1"/>
    <col min="7" max="16384" width="12.57421875" style="80" customWidth="1"/>
  </cols>
  <sheetData>
    <row r="1" spans="1:5" ht="15.75">
      <c r="A1" s="173" t="s">
        <v>41</v>
      </c>
      <c r="B1" s="85" t="s">
        <v>142</v>
      </c>
      <c r="C1" s="187"/>
      <c r="D1" s="187"/>
      <c r="E1" s="187"/>
    </row>
    <row r="2" spans="1:2" ht="15.75">
      <c r="A2" s="316"/>
      <c r="B2" s="85" t="s">
        <v>42</v>
      </c>
    </row>
    <row r="4" ht="13.5" thickBot="1"/>
    <row r="5" spans="1:6" ht="13.5" thickTop="1">
      <c r="A5" s="182"/>
      <c r="B5" s="104"/>
      <c r="C5" s="104"/>
      <c r="D5" s="104"/>
      <c r="E5" s="104"/>
      <c r="F5" s="105"/>
    </row>
    <row r="6" spans="1:6" ht="12.75">
      <c r="A6" s="183"/>
      <c r="B6" s="89"/>
      <c r="C6" s="90"/>
      <c r="D6" s="92" t="s">
        <v>139</v>
      </c>
      <c r="E6" s="93"/>
      <c r="F6" s="116"/>
    </row>
    <row r="7" spans="1:6" ht="12.75">
      <c r="A7" s="183"/>
      <c r="B7" s="91" t="s">
        <v>1</v>
      </c>
      <c r="C7" s="90"/>
      <c r="D7" s="121" t="s">
        <v>0</v>
      </c>
      <c r="E7" s="123"/>
      <c r="F7" s="116"/>
    </row>
    <row r="8" spans="1:6" ht="12.75">
      <c r="A8" s="183"/>
      <c r="B8" s="101" t="s">
        <v>3</v>
      </c>
      <c r="C8" s="188"/>
      <c r="D8" s="174" t="s">
        <v>171</v>
      </c>
      <c r="E8" s="174" t="s">
        <v>31</v>
      </c>
      <c r="F8" s="116"/>
    </row>
    <row r="9" spans="1:6" ht="12.75">
      <c r="A9" s="183"/>
      <c r="B9" s="81"/>
      <c r="D9" s="81"/>
      <c r="E9" s="81"/>
      <c r="F9" s="116"/>
    </row>
    <row r="10" spans="1:6" ht="12.75">
      <c r="A10" s="183"/>
      <c r="B10" s="178" t="s">
        <v>43</v>
      </c>
      <c r="C10" s="94"/>
      <c r="D10" s="99">
        <v>31000</v>
      </c>
      <c r="E10" s="99">
        <f aca="true" t="shared" si="0" ref="E10:E19">ROUND(+D10/D$21,5)*100</f>
        <v>0.14300000000000002</v>
      </c>
      <c r="F10" s="116"/>
    </row>
    <row r="11" spans="1:6" ht="12.75">
      <c r="A11" s="183"/>
      <c r="B11" s="178" t="s">
        <v>44</v>
      </c>
      <c r="C11" s="100"/>
      <c r="D11" s="180">
        <v>8414465.8</v>
      </c>
      <c r="E11" s="99">
        <f t="shared" si="0"/>
        <v>38.857</v>
      </c>
      <c r="F11" s="116"/>
    </row>
    <row r="12" spans="1:6" ht="12.75">
      <c r="A12" s="183"/>
      <c r="B12" s="178" t="s">
        <v>45</v>
      </c>
      <c r="C12" s="100"/>
      <c r="D12" s="180">
        <v>1961742</v>
      </c>
      <c r="E12" s="99">
        <f t="shared" si="0"/>
        <v>9.059000000000001</v>
      </c>
      <c r="F12" s="116"/>
    </row>
    <row r="13" spans="1:6" ht="12.75">
      <c r="A13" s="183"/>
      <c r="B13" s="178" t="s">
        <v>46</v>
      </c>
      <c r="C13" s="100"/>
      <c r="D13" s="180">
        <v>2431598</v>
      </c>
      <c r="E13" s="99">
        <f t="shared" si="0"/>
        <v>11.229</v>
      </c>
      <c r="F13" s="116"/>
    </row>
    <row r="14" spans="1:6" ht="12.75">
      <c r="A14" s="183"/>
      <c r="B14" s="178" t="s">
        <v>47</v>
      </c>
      <c r="C14" s="100"/>
      <c r="D14" s="180">
        <v>898423</v>
      </c>
      <c r="E14" s="99">
        <f t="shared" si="0"/>
        <v>4.149</v>
      </c>
      <c r="F14" s="116"/>
    </row>
    <row r="15" spans="1:6" ht="12.75">
      <c r="A15" s="183"/>
      <c r="B15" s="178" t="s">
        <v>48</v>
      </c>
      <c r="C15" s="100"/>
      <c r="D15" s="180">
        <v>195794</v>
      </c>
      <c r="E15" s="99">
        <f t="shared" si="0"/>
        <v>0.9039999999999999</v>
      </c>
      <c r="F15" s="116"/>
    </row>
    <row r="16" spans="1:6" ht="12.75">
      <c r="A16" s="183"/>
      <c r="B16" s="178" t="s">
        <v>49</v>
      </c>
      <c r="C16" s="100"/>
      <c r="D16" s="180">
        <v>6557192.5</v>
      </c>
      <c r="E16" s="99">
        <f t="shared" si="0"/>
        <v>30.281000000000002</v>
      </c>
      <c r="F16" s="116"/>
    </row>
    <row r="17" spans="1:6" ht="12.75">
      <c r="A17" s="183"/>
      <c r="B17" s="178" t="s">
        <v>50</v>
      </c>
      <c r="C17" s="100"/>
      <c r="D17" s="180">
        <v>536982.4</v>
      </c>
      <c r="E17" s="99">
        <f t="shared" si="0"/>
        <v>2.48</v>
      </c>
      <c r="F17" s="116"/>
    </row>
    <row r="18" spans="1:6" ht="12.75">
      <c r="A18" s="183"/>
      <c r="B18" s="178" t="s">
        <v>38</v>
      </c>
      <c r="C18" s="100"/>
      <c r="D18" s="180">
        <v>619470</v>
      </c>
      <c r="E18" s="99">
        <f t="shared" si="0"/>
        <v>2.861</v>
      </c>
      <c r="F18" s="116"/>
    </row>
    <row r="19" spans="1:6" ht="12.75">
      <c r="A19" s="183"/>
      <c r="B19" s="178" t="s">
        <v>10</v>
      </c>
      <c r="C19" s="100"/>
      <c r="D19" s="180">
        <v>8052.3</v>
      </c>
      <c r="E19" s="99">
        <f t="shared" si="0"/>
        <v>0.037</v>
      </c>
      <c r="F19" s="116"/>
    </row>
    <row r="20" spans="1:6" ht="12.75">
      <c r="A20" s="183"/>
      <c r="B20" s="81"/>
      <c r="C20" s="81"/>
      <c r="D20" s="81"/>
      <c r="E20" s="5"/>
      <c r="F20" s="116"/>
    </row>
    <row r="21" spans="1:6" ht="12.75">
      <c r="A21" s="183"/>
      <c r="B21" s="169" t="s">
        <v>40</v>
      </c>
      <c r="C21" s="170"/>
      <c r="D21" s="164">
        <f>SUM(D10:D20)</f>
        <v>21654720</v>
      </c>
      <c r="E21" s="164">
        <f>SUM(E10:E20)</f>
        <v>100.00000000000001</v>
      </c>
      <c r="F21" s="116"/>
    </row>
    <row r="22" spans="1:6" ht="13.5" thickBot="1">
      <c r="A22" s="184"/>
      <c r="B22" s="118"/>
      <c r="C22" s="119"/>
      <c r="D22" s="189"/>
      <c r="E22" s="189"/>
      <c r="F22" s="185"/>
    </row>
    <row r="23" spans="2:5" ht="13.5" thickTop="1">
      <c r="B23" s="81"/>
      <c r="C23" s="81"/>
      <c r="D23" s="81"/>
      <c r="E23" s="81"/>
    </row>
    <row r="25" spans="1:2" ht="12.75">
      <c r="A25" s="317">
        <v>-1</v>
      </c>
      <c r="B25" s="318" t="s">
        <v>143</v>
      </c>
    </row>
    <row r="26" ht="12.75">
      <c r="B26" s="81"/>
    </row>
    <row r="27" spans="1:2" ht="12.75">
      <c r="A27" s="319" t="s">
        <v>51</v>
      </c>
      <c r="B27" s="318" t="s">
        <v>191</v>
      </c>
    </row>
    <row r="28" ht="12.75">
      <c r="B28" s="83"/>
    </row>
    <row r="104" ht="12.75">
      <c r="B104" s="82"/>
    </row>
    <row r="107" ht="12.75">
      <c r="B107" s="82"/>
    </row>
  </sheetData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 3.7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21">
      <selection activeCell="H33" sqref="H33"/>
    </sheetView>
  </sheetViews>
  <sheetFormatPr defaultColWidth="12.57421875" defaultRowHeight="12.75"/>
  <cols>
    <col min="1" max="1" width="4.7109375" style="191" customWidth="1"/>
    <col min="2" max="2" width="25.7109375" style="191" customWidth="1"/>
    <col min="3" max="4" width="14.7109375" style="191" customWidth="1"/>
    <col min="5" max="6" width="15.7109375" style="191" customWidth="1"/>
    <col min="7" max="7" width="3.57421875" style="191" customWidth="1"/>
    <col min="8" max="16384" width="12.57421875" style="191" customWidth="1"/>
  </cols>
  <sheetData>
    <row r="1" spans="1:2" ht="15.75">
      <c r="A1" s="194" t="s">
        <v>52</v>
      </c>
      <c r="B1" s="195" t="s">
        <v>123</v>
      </c>
    </row>
    <row r="2" spans="1:2" ht="15.75">
      <c r="A2" s="196"/>
      <c r="B2" s="195" t="s">
        <v>121</v>
      </c>
    </row>
    <row r="3" ht="12.75">
      <c r="B3" s="192"/>
    </row>
    <row r="4" ht="12.75">
      <c r="B4" s="192"/>
    </row>
    <row r="6" ht="13.5" thickBot="1"/>
    <row r="7" spans="2:7" ht="18.75" thickTop="1">
      <c r="B7" s="371" t="s">
        <v>53</v>
      </c>
      <c r="C7" s="224" t="s">
        <v>34</v>
      </c>
      <c r="D7" s="225"/>
      <c r="E7" s="225"/>
      <c r="F7" s="226"/>
      <c r="G7" s="192"/>
    </row>
    <row r="8" spans="2:7" ht="12.75">
      <c r="B8" s="206"/>
      <c r="C8" s="198"/>
      <c r="D8" s="201"/>
      <c r="E8" s="197" t="s">
        <v>54</v>
      </c>
      <c r="F8" s="207"/>
      <c r="G8" s="192"/>
    </row>
    <row r="9" spans="2:7" ht="12.75">
      <c r="B9" s="208" t="s">
        <v>18</v>
      </c>
      <c r="C9" s="76" t="s">
        <v>124</v>
      </c>
      <c r="D9" s="202" t="s">
        <v>125</v>
      </c>
      <c r="E9" s="77" t="s">
        <v>124</v>
      </c>
      <c r="F9" s="209" t="s">
        <v>125</v>
      </c>
      <c r="G9" s="192"/>
    </row>
    <row r="10" spans="2:7" ht="12.75">
      <c r="B10" s="210"/>
      <c r="C10" s="78" t="s">
        <v>57</v>
      </c>
      <c r="D10" s="203" t="s">
        <v>122</v>
      </c>
      <c r="E10" s="79" t="s">
        <v>57</v>
      </c>
      <c r="F10" s="211" t="s">
        <v>122</v>
      </c>
      <c r="G10" s="192"/>
    </row>
    <row r="11" spans="2:7" ht="12.75">
      <c r="B11" s="352" t="s">
        <v>170</v>
      </c>
      <c r="C11" s="76"/>
      <c r="E11" s="432">
        <v>2487057170</v>
      </c>
      <c r="F11" s="353">
        <v>1977057005</v>
      </c>
      <c r="G11" s="192"/>
    </row>
    <row r="12" spans="2:7" ht="12.75">
      <c r="B12" s="212" t="s">
        <v>19</v>
      </c>
      <c r="C12" s="199"/>
      <c r="D12" s="204">
        <v>97000142</v>
      </c>
      <c r="E12" s="193">
        <f>+E11+C12</f>
        <v>2487057170</v>
      </c>
      <c r="F12" s="213">
        <f>+F11+D12</f>
        <v>2074057147</v>
      </c>
      <c r="G12" s="192"/>
    </row>
    <row r="13" spans="2:7" ht="12.75">
      <c r="B13" s="212" t="s">
        <v>20</v>
      </c>
      <c r="C13" s="200"/>
      <c r="D13" s="204">
        <v>101603565</v>
      </c>
      <c r="E13" s="193">
        <f aca="true" t="shared" si="0" ref="E13:E23">+E12+C13</f>
        <v>2487057170</v>
      </c>
      <c r="F13" s="213">
        <f aca="true" t="shared" si="1" ref="F13:F23">+F12+D13</f>
        <v>2175660712</v>
      </c>
      <c r="G13" s="192"/>
    </row>
    <row r="14" spans="2:9" ht="12.75">
      <c r="B14" s="212" t="s">
        <v>21</v>
      </c>
      <c r="C14" s="200"/>
      <c r="D14" s="204">
        <v>114729452</v>
      </c>
      <c r="E14" s="193">
        <f t="shared" si="0"/>
        <v>2487057170</v>
      </c>
      <c r="F14" s="213">
        <f t="shared" si="1"/>
        <v>2290390164</v>
      </c>
      <c r="G14" s="192"/>
      <c r="I14" s="369"/>
    </row>
    <row r="15" spans="2:9" ht="12.75">
      <c r="B15" s="212" t="s">
        <v>22</v>
      </c>
      <c r="C15" s="200"/>
      <c r="D15" s="204">
        <v>42521546</v>
      </c>
      <c r="E15" s="193">
        <f t="shared" si="0"/>
        <v>2487057170</v>
      </c>
      <c r="F15" s="213">
        <f t="shared" si="1"/>
        <v>2332911710</v>
      </c>
      <c r="G15" s="192"/>
      <c r="I15" s="369"/>
    </row>
    <row r="16" spans="2:9" ht="12.75">
      <c r="B16" s="212" t="s">
        <v>23</v>
      </c>
      <c r="C16" s="200">
        <v>42906463</v>
      </c>
      <c r="D16" s="204">
        <v>0</v>
      </c>
      <c r="E16" s="193">
        <f t="shared" si="0"/>
        <v>2529963633</v>
      </c>
      <c r="F16" s="213">
        <f t="shared" si="1"/>
        <v>2332911710</v>
      </c>
      <c r="G16" s="192"/>
      <c r="I16" s="369"/>
    </row>
    <row r="17" spans="2:7" ht="12.75">
      <c r="B17" s="212" t="s">
        <v>24</v>
      </c>
      <c r="C17" s="200">
        <v>105152376</v>
      </c>
      <c r="D17" s="204">
        <v>0</v>
      </c>
      <c r="E17" s="193">
        <f t="shared" si="0"/>
        <v>2635116009</v>
      </c>
      <c r="F17" s="213">
        <f t="shared" si="1"/>
        <v>2332911710</v>
      </c>
      <c r="G17" s="192"/>
    </row>
    <row r="18" spans="2:7" ht="12.75">
      <c r="B18" s="212" t="s">
        <v>25</v>
      </c>
      <c r="C18" s="200">
        <v>72070748</v>
      </c>
      <c r="D18" s="204">
        <v>1375071</v>
      </c>
      <c r="E18" s="193">
        <f t="shared" si="0"/>
        <v>2707186757</v>
      </c>
      <c r="F18" s="213">
        <f t="shared" si="1"/>
        <v>2334286781</v>
      </c>
      <c r="G18" s="192"/>
    </row>
    <row r="19" spans="2:7" ht="12.75">
      <c r="B19" s="212" t="s">
        <v>26</v>
      </c>
      <c r="C19" s="200">
        <v>104867587</v>
      </c>
      <c r="D19" s="204">
        <v>0</v>
      </c>
      <c r="E19" s="193">
        <f t="shared" si="0"/>
        <v>2812054344</v>
      </c>
      <c r="F19" s="213">
        <f t="shared" si="1"/>
        <v>2334286781</v>
      </c>
      <c r="G19" s="192"/>
    </row>
    <row r="20" spans="2:7" ht="12.75">
      <c r="B20" s="212" t="s">
        <v>27</v>
      </c>
      <c r="C20" s="200">
        <v>78182924</v>
      </c>
      <c r="D20" s="204">
        <v>581340</v>
      </c>
      <c r="E20" s="193">
        <f t="shared" si="0"/>
        <v>2890237268</v>
      </c>
      <c r="F20" s="213">
        <f t="shared" si="1"/>
        <v>2334868121</v>
      </c>
      <c r="G20" s="192"/>
    </row>
    <row r="21" spans="2:7" ht="12.75">
      <c r="B21" s="212" t="s">
        <v>28</v>
      </c>
      <c r="C21" s="200">
        <v>40789107</v>
      </c>
      <c r="D21" s="204">
        <v>0</v>
      </c>
      <c r="E21" s="193">
        <f t="shared" si="0"/>
        <v>2931026375</v>
      </c>
      <c r="F21" s="213">
        <f t="shared" si="1"/>
        <v>2334868121</v>
      </c>
      <c r="G21" s="192"/>
    </row>
    <row r="22" spans="2:7" ht="12.75">
      <c r="B22" s="212" t="s">
        <v>29</v>
      </c>
      <c r="C22" s="200"/>
      <c r="D22" s="204">
        <v>90984748</v>
      </c>
      <c r="E22" s="193">
        <f t="shared" si="0"/>
        <v>2931026375</v>
      </c>
      <c r="F22" s="213">
        <f t="shared" si="1"/>
        <v>2425852869</v>
      </c>
      <c r="G22" s="192"/>
    </row>
    <row r="23" spans="2:7" ht="12.75">
      <c r="B23" s="212" t="s">
        <v>30</v>
      </c>
      <c r="C23" s="200"/>
      <c r="D23" s="204">
        <v>135591014</v>
      </c>
      <c r="E23" s="193">
        <f t="shared" si="0"/>
        <v>2931026375</v>
      </c>
      <c r="F23" s="213">
        <f t="shared" si="1"/>
        <v>2561443883</v>
      </c>
      <c r="G23" s="192"/>
    </row>
    <row r="24" spans="2:7" ht="12.75">
      <c r="B24" s="212"/>
      <c r="C24" s="200"/>
      <c r="D24" s="204"/>
      <c r="E24" s="193"/>
      <c r="F24" s="214"/>
      <c r="G24" s="192"/>
    </row>
    <row r="25" spans="2:7" ht="12.75">
      <c r="B25" s="219" t="s">
        <v>14</v>
      </c>
      <c r="C25" s="220">
        <f>SUM(C12:C23)</f>
        <v>443969205</v>
      </c>
      <c r="D25" s="221">
        <f>SUM(D13:D23)</f>
        <v>487386736</v>
      </c>
      <c r="E25" s="192"/>
      <c r="F25" s="215"/>
      <c r="G25" s="192"/>
    </row>
    <row r="26" spans="2:6" ht="13.5" thickBot="1">
      <c r="B26" s="216"/>
      <c r="C26" s="217"/>
      <c r="D26" s="217"/>
      <c r="E26" s="217"/>
      <c r="F26" s="218"/>
    </row>
    <row r="27" spans="1:2" ht="13.5" thickTop="1">
      <c r="A27" s="192"/>
      <c r="B27" s="192"/>
    </row>
    <row r="28" spans="1:2" ht="12.75">
      <c r="A28" s="192"/>
      <c r="B28" s="192"/>
    </row>
    <row r="30" ht="13.5" thickBot="1"/>
    <row r="31" spans="2:7" ht="18.75" thickTop="1">
      <c r="B31" s="372" t="s">
        <v>58</v>
      </c>
      <c r="C31" s="224" t="s">
        <v>34</v>
      </c>
      <c r="D31" s="225"/>
      <c r="E31" s="225"/>
      <c r="F31" s="226"/>
      <c r="G31" s="192"/>
    </row>
    <row r="32" spans="2:7" ht="12.75">
      <c r="B32" s="206"/>
      <c r="C32" s="198"/>
      <c r="D32" s="201"/>
      <c r="E32" s="197" t="s">
        <v>54</v>
      </c>
      <c r="F32" s="207"/>
      <c r="G32" s="192"/>
    </row>
    <row r="33" spans="2:7" ht="12.75">
      <c r="B33" s="208" t="s">
        <v>18</v>
      </c>
      <c r="C33" s="76" t="s">
        <v>124</v>
      </c>
      <c r="D33" s="202" t="s">
        <v>125</v>
      </c>
      <c r="E33" s="77" t="s">
        <v>124</v>
      </c>
      <c r="F33" s="209" t="s">
        <v>125</v>
      </c>
      <c r="G33" s="192"/>
    </row>
    <row r="34" spans="2:7" ht="12.75">
      <c r="B34" s="210"/>
      <c r="C34" s="78" t="s">
        <v>57</v>
      </c>
      <c r="D34" s="203" t="s">
        <v>122</v>
      </c>
      <c r="E34" s="79" t="s">
        <v>57</v>
      </c>
      <c r="F34" s="211" t="s">
        <v>122</v>
      </c>
      <c r="G34" s="192"/>
    </row>
    <row r="35" spans="2:7" ht="12.75">
      <c r="B35" s="352" t="s">
        <v>170</v>
      </c>
      <c r="C35" s="76"/>
      <c r="D35" s="427"/>
      <c r="E35" s="428">
        <v>3925045536</v>
      </c>
      <c r="F35" s="426">
        <v>2654612261</v>
      </c>
      <c r="G35" s="192"/>
    </row>
    <row r="36" spans="2:7" ht="12.75">
      <c r="B36" s="212" t="s">
        <v>19</v>
      </c>
      <c r="C36" s="199"/>
      <c r="D36" s="193">
        <v>80135525</v>
      </c>
      <c r="E36" s="199">
        <f>+E35+C36</f>
        <v>3925045536</v>
      </c>
      <c r="F36" s="214">
        <f>+F35+D36</f>
        <v>2734747786</v>
      </c>
      <c r="G36" s="192"/>
    </row>
    <row r="37" spans="2:7" ht="12.75">
      <c r="B37" s="212" t="s">
        <v>20</v>
      </c>
      <c r="C37" s="199"/>
      <c r="D37" s="193">
        <v>108335770</v>
      </c>
      <c r="E37" s="199">
        <f aca="true" t="shared" si="2" ref="E37:F47">E36+C37</f>
        <v>3925045536</v>
      </c>
      <c r="F37" s="214">
        <f t="shared" si="2"/>
        <v>2843083556</v>
      </c>
      <c r="G37" s="192"/>
    </row>
    <row r="38" spans="2:7" ht="12.75">
      <c r="B38" s="212" t="s">
        <v>21</v>
      </c>
      <c r="C38" s="199"/>
      <c r="D38" s="193">
        <v>148637014</v>
      </c>
      <c r="E38" s="199">
        <f t="shared" si="2"/>
        <v>3925045536</v>
      </c>
      <c r="F38" s="214">
        <f t="shared" si="2"/>
        <v>2991720570</v>
      </c>
      <c r="G38" s="192"/>
    </row>
    <row r="39" spans="2:7" ht="12.75">
      <c r="B39" s="212" t="s">
        <v>22</v>
      </c>
      <c r="C39" s="429">
        <v>2264175</v>
      </c>
      <c r="D39" s="199">
        <v>10521619</v>
      </c>
      <c r="E39" s="199">
        <f t="shared" si="2"/>
        <v>3927309711</v>
      </c>
      <c r="F39" s="214">
        <f t="shared" si="2"/>
        <v>3002242189</v>
      </c>
      <c r="G39" s="192"/>
    </row>
    <row r="40" spans="2:7" ht="12.75">
      <c r="B40" s="212" t="s">
        <v>23</v>
      </c>
      <c r="C40" s="199">
        <v>54657349</v>
      </c>
      <c r="D40" s="193"/>
      <c r="E40" s="199">
        <f t="shared" si="2"/>
        <v>3981967060</v>
      </c>
      <c r="F40" s="214">
        <f t="shared" si="2"/>
        <v>3002242189</v>
      </c>
      <c r="G40" s="192"/>
    </row>
    <row r="41" spans="2:7" ht="12.75">
      <c r="B41" s="212" t="s">
        <v>24</v>
      </c>
      <c r="C41" s="199">
        <v>120451404</v>
      </c>
      <c r="D41" s="193"/>
      <c r="E41" s="199">
        <f t="shared" si="2"/>
        <v>4102418464</v>
      </c>
      <c r="F41" s="214">
        <f t="shared" si="2"/>
        <v>3002242189</v>
      </c>
      <c r="G41" s="192"/>
    </row>
    <row r="42" spans="2:7" ht="12.75">
      <c r="B42" s="212" t="s">
        <v>25</v>
      </c>
      <c r="C42" s="199">
        <v>88149109</v>
      </c>
      <c r="D42" s="193"/>
      <c r="E42" s="199">
        <f t="shared" si="2"/>
        <v>4190567573</v>
      </c>
      <c r="F42" s="214">
        <f t="shared" si="2"/>
        <v>3002242189</v>
      </c>
      <c r="G42" s="192"/>
    </row>
    <row r="43" spans="2:7" ht="12.75">
      <c r="B43" s="212" t="s">
        <v>26</v>
      </c>
      <c r="C43" s="199">
        <v>131532076</v>
      </c>
      <c r="D43" s="193"/>
      <c r="E43" s="199">
        <f t="shared" si="2"/>
        <v>4322099649</v>
      </c>
      <c r="F43" s="214">
        <f t="shared" si="2"/>
        <v>3002242189</v>
      </c>
      <c r="G43" s="192"/>
    </row>
    <row r="44" spans="2:7" ht="12.75">
      <c r="B44" s="212" t="s">
        <v>27</v>
      </c>
      <c r="C44" s="199">
        <v>125645476</v>
      </c>
      <c r="D44" s="193"/>
      <c r="E44" s="199">
        <f t="shared" si="2"/>
        <v>4447745125</v>
      </c>
      <c r="F44" s="214">
        <f t="shared" si="2"/>
        <v>3002242189</v>
      </c>
      <c r="G44" s="192"/>
    </row>
    <row r="45" spans="2:7" ht="12.75">
      <c r="B45" s="212" t="s">
        <v>28</v>
      </c>
      <c r="C45" s="199">
        <v>19153206</v>
      </c>
      <c r="D45" s="193">
        <v>249765</v>
      </c>
      <c r="E45" s="199">
        <f t="shared" si="2"/>
        <v>4466898331</v>
      </c>
      <c r="F45" s="214">
        <f t="shared" si="2"/>
        <v>3002491954</v>
      </c>
      <c r="G45" s="192"/>
    </row>
    <row r="46" spans="2:7" ht="12.75">
      <c r="B46" s="212" t="s">
        <v>29</v>
      </c>
      <c r="C46" s="199">
        <v>22884315</v>
      </c>
      <c r="D46" s="193">
        <v>69638007</v>
      </c>
      <c r="E46" s="199">
        <f t="shared" si="2"/>
        <v>4489782646</v>
      </c>
      <c r="F46" s="214">
        <f t="shared" si="2"/>
        <v>3072129961</v>
      </c>
      <c r="G46" s="192"/>
    </row>
    <row r="47" spans="2:7" ht="12.75">
      <c r="B47" s="212" t="s">
        <v>30</v>
      </c>
      <c r="C47" s="199"/>
      <c r="D47" s="193">
        <v>128639306</v>
      </c>
      <c r="E47" s="199">
        <f t="shared" si="2"/>
        <v>4489782646</v>
      </c>
      <c r="F47" s="214">
        <f t="shared" si="2"/>
        <v>3200769267</v>
      </c>
      <c r="G47" s="192"/>
    </row>
    <row r="48" spans="2:7" ht="12.75">
      <c r="B48" s="212"/>
      <c r="C48" s="199"/>
      <c r="D48" s="193"/>
      <c r="E48" s="205"/>
      <c r="F48" s="214"/>
      <c r="G48" s="192"/>
    </row>
    <row r="49" spans="2:7" ht="12.75">
      <c r="B49" s="219" t="s">
        <v>14</v>
      </c>
      <c r="C49" s="220">
        <f>SUM(C36:C47)</f>
        <v>564737110</v>
      </c>
      <c r="D49" s="223">
        <f>SUM(D36:D47)</f>
        <v>546157006</v>
      </c>
      <c r="E49" s="222"/>
      <c r="F49" s="215"/>
      <c r="G49" s="192"/>
    </row>
    <row r="50" spans="2:6" ht="13.5" thickBot="1">
      <c r="B50" s="216"/>
      <c r="C50" s="217"/>
      <c r="D50" s="217"/>
      <c r="E50" s="217"/>
      <c r="F50" s="218"/>
    </row>
    <row r="51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 3.8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workbookViewId="0" topLeftCell="A1">
      <pane xSplit="1" ySplit="7" topLeftCell="I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" sqref="P6"/>
    </sheetView>
  </sheetViews>
  <sheetFormatPr defaultColWidth="12.57421875" defaultRowHeight="12.75"/>
  <cols>
    <col min="1" max="1" width="7.7109375" style="234" customWidth="1"/>
    <col min="2" max="2" width="1.7109375" style="68" customWidth="1"/>
    <col min="3" max="3" width="7.7109375" style="68" customWidth="1"/>
    <col min="4" max="4" width="10.7109375" style="68" customWidth="1"/>
    <col min="5" max="5" width="14.7109375" style="68" customWidth="1"/>
    <col min="6" max="6" width="10.7109375" style="68" customWidth="1"/>
    <col min="7" max="7" width="9.7109375" style="68" customWidth="1"/>
    <col min="8" max="8" width="12.7109375" style="68" customWidth="1"/>
    <col min="9" max="9" width="9.7109375" style="68" customWidth="1"/>
    <col min="10" max="10" width="15.7109375" style="68" customWidth="1"/>
    <col min="11" max="11" width="10.7109375" style="68" customWidth="1"/>
    <col min="12" max="12" width="11.7109375" style="68" customWidth="1"/>
    <col min="13" max="13" width="12.7109375" style="68" customWidth="1"/>
    <col min="14" max="14" width="15.7109375" style="68" customWidth="1"/>
    <col min="15" max="15" width="1.7109375" style="68" customWidth="1"/>
    <col min="16" max="16" width="7.7109375" style="68" customWidth="1"/>
    <col min="17" max="17" width="3.57421875" style="68" customWidth="1"/>
    <col min="18" max="16384" width="12.57421875" style="68" customWidth="1"/>
  </cols>
  <sheetData>
    <row r="1" spans="1:3" ht="15.75">
      <c r="A1" s="235" t="s">
        <v>59</v>
      </c>
      <c r="B1" s="69" t="s">
        <v>144</v>
      </c>
      <c r="C1" s="236"/>
    </row>
    <row r="2" spans="1:3" ht="15.75">
      <c r="A2" s="237"/>
      <c r="B2" s="69"/>
      <c r="C2" s="236"/>
    </row>
    <row r="3" ht="13.5" thickBot="1"/>
    <row r="4" spans="1:17" ht="13.5" thickTop="1">
      <c r="A4" s="241"/>
      <c r="B4" s="46"/>
      <c r="C4" s="242" t="s">
        <v>174</v>
      </c>
      <c r="D4" s="243"/>
      <c r="E4" s="243"/>
      <c r="F4" s="244"/>
      <c r="G4" s="243"/>
      <c r="H4" s="243"/>
      <c r="I4" s="243"/>
      <c r="J4" s="243"/>
      <c r="K4" s="243"/>
      <c r="L4" s="243"/>
      <c r="M4" s="243"/>
      <c r="N4" s="243"/>
      <c r="O4" s="243"/>
      <c r="P4" s="245"/>
      <c r="Q4" s="2"/>
    </row>
    <row r="5" spans="1:17" ht="12.75">
      <c r="A5" s="246"/>
      <c r="B5" s="227"/>
      <c r="C5" s="227"/>
      <c r="D5" s="227"/>
      <c r="E5" s="227"/>
      <c r="F5" s="227"/>
      <c r="G5" s="227"/>
      <c r="H5" s="227"/>
      <c r="I5" s="227"/>
      <c r="J5" s="228" t="s">
        <v>187</v>
      </c>
      <c r="K5" s="227"/>
      <c r="L5" s="227"/>
      <c r="M5" s="227"/>
      <c r="N5" s="228" t="s">
        <v>187</v>
      </c>
      <c r="O5" s="227"/>
      <c r="P5" s="247"/>
      <c r="Q5" s="2"/>
    </row>
    <row r="6" spans="1:17" ht="12.75">
      <c r="A6" s="248" t="s">
        <v>60</v>
      </c>
      <c r="B6" s="227"/>
      <c r="C6" s="227"/>
      <c r="D6" s="227"/>
      <c r="E6" s="227"/>
      <c r="F6" s="227"/>
      <c r="G6" s="227"/>
      <c r="H6" s="227"/>
      <c r="I6" s="227"/>
      <c r="J6" s="228" t="s">
        <v>8</v>
      </c>
      <c r="K6" s="228" t="s">
        <v>58</v>
      </c>
      <c r="L6" s="227"/>
      <c r="M6" s="227"/>
      <c r="N6" s="228" t="s">
        <v>12</v>
      </c>
      <c r="O6" s="227"/>
      <c r="P6" s="247"/>
      <c r="Q6" s="2"/>
    </row>
    <row r="7" spans="1:17" ht="12.75">
      <c r="A7" s="249" t="s">
        <v>61</v>
      </c>
      <c r="B7" s="227"/>
      <c r="C7" s="238" t="s">
        <v>5</v>
      </c>
      <c r="D7" s="238" t="s">
        <v>62</v>
      </c>
      <c r="E7" s="238" t="s">
        <v>13</v>
      </c>
      <c r="F7" s="238" t="s">
        <v>45</v>
      </c>
      <c r="G7" s="238" t="s">
        <v>46</v>
      </c>
      <c r="H7" s="238" t="s">
        <v>48</v>
      </c>
      <c r="I7" s="238" t="s">
        <v>63</v>
      </c>
      <c r="J7" s="238" t="s">
        <v>9</v>
      </c>
      <c r="K7" s="238" t="s">
        <v>64</v>
      </c>
      <c r="L7" s="238" t="s">
        <v>10</v>
      </c>
      <c r="M7" s="238" t="s">
        <v>11</v>
      </c>
      <c r="N7" s="238" t="s">
        <v>13</v>
      </c>
      <c r="O7" s="227"/>
      <c r="P7" s="250" t="s">
        <v>14</v>
      </c>
      <c r="Q7" s="2"/>
    </row>
    <row r="8" spans="1:17" ht="12.75">
      <c r="A8" s="251">
        <v>1963</v>
      </c>
      <c r="B8" s="135"/>
      <c r="C8" s="239" t="s">
        <v>15</v>
      </c>
      <c r="D8" s="239" t="s">
        <v>15</v>
      </c>
      <c r="E8" s="239" t="s">
        <v>15</v>
      </c>
      <c r="F8" s="239" t="s">
        <v>15</v>
      </c>
      <c r="G8" s="239" t="s">
        <v>15</v>
      </c>
      <c r="H8" s="239" t="s">
        <v>15</v>
      </c>
      <c r="I8" s="239" t="s">
        <v>15</v>
      </c>
      <c r="J8" s="239" t="s">
        <v>15</v>
      </c>
      <c r="K8" s="239" t="s">
        <v>15</v>
      </c>
      <c r="L8" s="239" t="s">
        <v>15</v>
      </c>
      <c r="M8" s="239" t="s">
        <v>15</v>
      </c>
      <c r="N8" s="239" t="s">
        <v>15</v>
      </c>
      <c r="O8" s="240"/>
      <c r="P8" s="252" t="s">
        <v>15</v>
      </c>
      <c r="Q8" s="2"/>
    </row>
    <row r="9" spans="1:17" ht="12.75">
      <c r="A9" s="251">
        <v>1964</v>
      </c>
      <c r="B9" s="135"/>
      <c r="C9" s="239" t="s">
        <v>15</v>
      </c>
      <c r="D9" s="239" t="s">
        <v>15</v>
      </c>
      <c r="E9" s="239" t="s">
        <v>15</v>
      </c>
      <c r="F9" s="239" t="s">
        <v>15</v>
      </c>
      <c r="G9" s="239" t="s">
        <v>15</v>
      </c>
      <c r="H9" s="239" t="s">
        <v>15</v>
      </c>
      <c r="I9" s="239" t="s">
        <v>15</v>
      </c>
      <c r="J9" s="239" t="s">
        <v>15</v>
      </c>
      <c r="K9" s="239" t="s">
        <v>15</v>
      </c>
      <c r="L9" s="239" t="s">
        <v>15</v>
      </c>
      <c r="M9" s="239" t="s">
        <v>15</v>
      </c>
      <c r="N9" s="239" t="s">
        <v>15</v>
      </c>
      <c r="O9" s="240"/>
      <c r="P9" s="252" t="s">
        <v>15</v>
      </c>
      <c r="Q9" s="2"/>
    </row>
    <row r="10" spans="1:17" ht="12.75">
      <c r="A10" s="251">
        <v>1965</v>
      </c>
      <c r="B10" s="135"/>
      <c r="C10" s="239" t="s">
        <v>15</v>
      </c>
      <c r="D10" s="239" t="s">
        <v>15</v>
      </c>
      <c r="E10" s="239" t="s">
        <v>15</v>
      </c>
      <c r="F10" s="239" t="s">
        <v>15</v>
      </c>
      <c r="G10" s="239" t="s">
        <v>15</v>
      </c>
      <c r="H10" s="239" t="s">
        <v>15</v>
      </c>
      <c r="I10" s="239" t="s">
        <v>15</v>
      </c>
      <c r="J10" s="239" t="s">
        <v>15</v>
      </c>
      <c r="K10" s="239" t="s">
        <v>15</v>
      </c>
      <c r="L10" s="239" t="s">
        <v>15</v>
      </c>
      <c r="M10" s="239" t="s">
        <v>15</v>
      </c>
      <c r="N10" s="239" t="s">
        <v>15</v>
      </c>
      <c r="O10" s="240"/>
      <c r="P10" s="252" t="s">
        <v>15</v>
      </c>
      <c r="Q10" s="2"/>
    </row>
    <row r="11" spans="1:17" ht="12.75">
      <c r="A11" s="251">
        <v>1966</v>
      </c>
      <c r="B11" s="136"/>
      <c r="C11" s="73">
        <v>4</v>
      </c>
      <c r="D11" s="239" t="s">
        <v>15</v>
      </c>
      <c r="E11" s="239" t="s">
        <v>15</v>
      </c>
      <c r="F11" s="239" t="s">
        <v>15</v>
      </c>
      <c r="G11" s="239" t="s">
        <v>15</v>
      </c>
      <c r="H11" s="239" t="s">
        <v>15</v>
      </c>
      <c r="I11" s="239" t="s">
        <v>15</v>
      </c>
      <c r="J11" s="239" t="s">
        <v>15</v>
      </c>
      <c r="K11" s="239" t="s">
        <v>15</v>
      </c>
      <c r="L11" s="239" t="s">
        <v>15</v>
      </c>
      <c r="M11" s="239" t="s">
        <v>15</v>
      </c>
      <c r="N11" s="239" t="s">
        <v>15</v>
      </c>
      <c r="O11" s="135"/>
      <c r="P11" s="74">
        <f aca="true" t="shared" si="0" ref="P11:P26">SUM(C11:O11)</f>
        <v>4</v>
      </c>
      <c r="Q11" s="2"/>
    </row>
    <row r="12" spans="1:17" ht="12.75">
      <c r="A12" s="251">
        <v>1967</v>
      </c>
      <c r="B12" s="136"/>
      <c r="C12" s="73">
        <v>110</v>
      </c>
      <c r="D12" s="239" t="s">
        <v>15</v>
      </c>
      <c r="E12" s="239" t="s">
        <v>15</v>
      </c>
      <c r="F12" s="239" t="s">
        <v>15</v>
      </c>
      <c r="G12" s="239" t="s">
        <v>15</v>
      </c>
      <c r="H12" s="239" t="s">
        <v>15</v>
      </c>
      <c r="I12" s="239" t="s">
        <v>15</v>
      </c>
      <c r="J12" s="239" t="s">
        <v>15</v>
      </c>
      <c r="K12" s="239" t="s">
        <v>15</v>
      </c>
      <c r="L12" s="239" t="s">
        <v>15</v>
      </c>
      <c r="M12" s="239" t="s">
        <v>15</v>
      </c>
      <c r="N12" s="239" t="s">
        <v>15</v>
      </c>
      <c r="O12" s="135"/>
      <c r="P12" s="74">
        <f t="shared" si="0"/>
        <v>110</v>
      </c>
      <c r="Q12" s="2"/>
    </row>
    <row r="13" spans="1:17" ht="12.75">
      <c r="A13" s="251">
        <v>1968</v>
      </c>
      <c r="B13" s="136"/>
      <c r="C13" s="73">
        <v>110</v>
      </c>
      <c r="D13" s="239" t="s">
        <v>15</v>
      </c>
      <c r="E13" s="239" t="s">
        <v>15</v>
      </c>
      <c r="F13" s="239" t="s">
        <v>15</v>
      </c>
      <c r="G13" s="239" t="s">
        <v>15</v>
      </c>
      <c r="H13" s="239" t="s">
        <v>15</v>
      </c>
      <c r="I13" s="239" t="s">
        <v>15</v>
      </c>
      <c r="J13" s="239" t="s">
        <v>15</v>
      </c>
      <c r="K13" s="239" t="s">
        <v>15</v>
      </c>
      <c r="L13" s="239" t="s">
        <v>15</v>
      </c>
      <c r="M13" s="239" t="s">
        <v>15</v>
      </c>
      <c r="N13" s="239" t="s">
        <v>15</v>
      </c>
      <c r="O13" s="135"/>
      <c r="P13" s="74">
        <f t="shared" si="0"/>
        <v>110</v>
      </c>
      <c r="Q13" s="2"/>
    </row>
    <row r="14" spans="1:17" ht="12.75">
      <c r="A14" s="251">
        <v>1969</v>
      </c>
      <c r="B14" s="136"/>
      <c r="C14" s="73">
        <v>193</v>
      </c>
      <c r="D14" s="239" t="s">
        <v>15</v>
      </c>
      <c r="E14" s="239" t="s">
        <v>15</v>
      </c>
      <c r="F14" s="239" t="s">
        <v>15</v>
      </c>
      <c r="G14" s="239" t="s">
        <v>15</v>
      </c>
      <c r="H14" s="239" t="s">
        <v>15</v>
      </c>
      <c r="I14" s="239" t="s">
        <v>15</v>
      </c>
      <c r="J14" s="239" t="s">
        <v>15</v>
      </c>
      <c r="K14" s="239" t="s">
        <v>15</v>
      </c>
      <c r="L14" s="239" t="s">
        <v>15</v>
      </c>
      <c r="M14" s="239" t="s">
        <v>15</v>
      </c>
      <c r="N14" s="239" t="s">
        <v>15</v>
      </c>
      <c r="O14" s="135"/>
      <c r="P14" s="74">
        <f t="shared" si="0"/>
        <v>193</v>
      </c>
      <c r="Q14" s="2"/>
    </row>
    <row r="15" spans="1:17" ht="12.75">
      <c r="A15" s="251">
        <v>1970</v>
      </c>
      <c r="B15" s="136"/>
      <c r="C15" s="73">
        <v>156</v>
      </c>
      <c r="D15" s="239" t="s">
        <v>15</v>
      </c>
      <c r="E15" s="239" t="s">
        <v>15</v>
      </c>
      <c r="F15" s="239" t="s">
        <v>15</v>
      </c>
      <c r="G15" s="239" t="s">
        <v>15</v>
      </c>
      <c r="H15" s="239" t="s">
        <v>15</v>
      </c>
      <c r="I15" s="239" t="s">
        <v>15</v>
      </c>
      <c r="J15" s="239" t="s">
        <v>15</v>
      </c>
      <c r="K15" s="239" t="s">
        <v>15</v>
      </c>
      <c r="L15" s="239" t="s">
        <v>15</v>
      </c>
      <c r="M15" s="239" t="s">
        <v>15</v>
      </c>
      <c r="N15" s="239" t="s">
        <v>15</v>
      </c>
      <c r="O15" s="135"/>
      <c r="P15" s="74">
        <f t="shared" si="0"/>
        <v>156</v>
      </c>
      <c r="Q15" s="2"/>
    </row>
    <row r="16" spans="1:17" ht="12.75">
      <c r="A16" s="251">
        <v>1971</v>
      </c>
      <c r="B16" s="136"/>
      <c r="C16" s="73">
        <v>126</v>
      </c>
      <c r="D16" s="239" t="s">
        <v>15</v>
      </c>
      <c r="E16" s="239" t="s">
        <v>15</v>
      </c>
      <c r="F16" s="239" t="s">
        <v>15</v>
      </c>
      <c r="G16" s="239" t="s">
        <v>15</v>
      </c>
      <c r="H16" s="239" t="s">
        <v>15</v>
      </c>
      <c r="I16" s="239" t="s">
        <v>15</v>
      </c>
      <c r="J16" s="239" t="s">
        <v>15</v>
      </c>
      <c r="K16" s="239" t="s">
        <v>15</v>
      </c>
      <c r="L16" s="239" t="s">
        <v>15</v>
      </c>
      <c r="M16" s="239" t="s">
        <v>15</v>
      </c>
      <c r="N16" s="239" t="s">
        <v>15</v>
      </c>
      <c r="O16" s="135"/>
      <c r="P16" s="74">
        <f t="shared" si="0"/>
        <v>126</v>
      </c>
      <c r="Q16" s="2"/>
    </row>
    <row r="17" spans="1:17" ht="12.75">
      <c r="A17" s="251">
        <v>1972</v>
      </c>
      <c r="B17" s="136"/>
      <c r="C17" s="73">
        <v>138</v>
      </c>
      <c r="D17" s="239" t="s">
        <v>15</v>
      </c>
      <c r="E17" s="239" t="s">
        <v>15</v>
      </c>
      <c r="F17" s="239" t="s">
        <v>15</v>
      </c>
      <c r="G17" s="239" t="s">
        <v>15</v>
      </c>
      <c r="H17" s="239" t="s">
        <v>15</v>
      </c>
      <c r="I17" s="239" t="s">
        <v>15</v>
      </c>
      <c r="J17" s="239" t="s">
        <v>15</v>
      </c>
      <c r="K17" s="239" t="s">
        <v>15</v>
      </c>
      <c r="L17" s="239" t="s">
        <v>15</v>
      </c>
      <c r="M17" s="239" t="s">
        <v>15</v>
      </c>
      <c r="N17" s="239" t="s">
        <v>15</v>
      </c>
      <c r="O17" s="135"/>
      <c r="P17" s="74">
        <f t="shared" si="0"/>
        <v>138</v>
      </c>
      <c r="Q17" s="2"/>
    </row>
    <row r="18" spans="1:17" ht="12.75">
      <c r="A18" s="251">
        <v>1973</v>
      </c>
      <c r="B18" s="136"/>
      <c r="C18" s="73">
        <v>111</v>
      </c>
      <c r="D18" s="73">
        <v>653</v>
      </c>
      <c r="E18" s="239" t="s">
        <v>15</v>
      </c>
      <c r="F18" s="239" t="s">
        <v>15</v>
      </c>
      <c r="G18" s="239" t="s">
        <v>15</v>
      </c>
      <c r="H18" s="239" t="s">
        <v>15</v>
      </c>
      <c r="I18" s="239" t="s">
        <v>15</v>
      </c>
      <c r="J18" s="239" t="s">
        <v>15</v>
      </c>
      <c r="K18" s="239" t="s">
        <v>15</v>
      </c>
      <c r="L18" s="239" t="s">
        <v>15</v>
      </c>
      <c r="M18" s="239" t="s">
        <v>15</v>
      </c>
      <c r="N18" s="239" t="s">
        <v>15</v>
      </c>
      <c r="O18" s="135"/>
      <c r="P18" s="74">
        <f t="shared" si="0"/>
        <v>764</v>
      </c>
      <c r="Q18" s="2"/>
    </row>
    <row r="19" spans="1:17" ht="12.75">
      <c r="A19" s="251">
        <v>1974</v>
      </c>
      <c r="B19" s="136"/>
      <c r="C19" s="73">
        <v>84</v>
      </c>
      <c r="D19" s="73">
        <v>1892</v>
      </c>
      <c r="E19" s="239" t="s">
        <v>15</v>
      </c>
      <c r="F19" s="239" t="s">
        <v>15</v>
      </c>
      <c r="G19" s="239" t="s">
        <v>15</v>
      </c>
      <c r="H19" s="239" t="s">
        <v>15</v>
      </c>
      <c r="I19" s="239" t="s">
        <v>15</v>
      </c>
      <c r="J19" s="239" t="s">
        <v>15</v>
      </c>
      <c r="K19" s="239" t="s">
        <v>15</v>
      </c>
      <c r="L19" s="239" t="s">
        <v>15</v>
      </c>
      <c r="M19" s="239" t="s">
        <v>15</v>
      </c>
      <c r="N19" s="239" t="s">
        <v>15</v>
      </c>
      <c r="O19" s="135"/>
      <c r="P19" s="74">
        <f t="shared" si="0"/>
        <v>1976</v>
      </c>
      <c r="Q19" s="2"/>
    </row>
    <row r="20" spans="1:17" ht="12.75">
      <c r="A20" s="251">
        <v>1975</v>
      </c>
      <c r="B20" s="136"/>
      <c r="C20" s="73">
        <v>66</v>
      </c>
      <c r="D20" s="73">
        <v>1961</v>
      </c>
      <c r="E20" s="239" t="s">
        <v>15</v>
      </c>
      <c r="F20" s="239" t="s">
        <v>15</v>
      </c>
      <c r="G20" s="239" t="s">
        <v>15</v>
      </c>
      <c r="H20" s="239" t="s">
        <v>15</v>
      </c>
      <c r="I20" s="239" t="s">
        <v>15</v>
      </c>
      <c r="J20" s="239" t="s">
        <v>15</v>
      </c>
      <c r="K20" s="239" t="s">
        <v>15</v>
      </c>
      <c r="L20" s="239" t="s">
        <v>15</v>
      </c>
      <c r="M20" s="239" t="s">
        <v>15</v>
      </c>
      <c r="N20" s="239" t="s">
        <v>15</v>
      </c>
      <c r="O20" s="135"/>
      <c r="P20" s="74">
        <f t="shared" si="0"/>
        <v>2027</v>
      </c>
      <c r="Q20" s="2"/>
    </row>
    <row r="21" spans="1:17" ht="12.75">
      <c r="A21" s="251">
        <v>1976</v>
      </c>
      <c r="B21" s="136"/>
      <c r="C21" s="73">
        <v>67</v>
      </c>
      <c r="D21" s="73">
        <v>1705</v>
      </c>
      <c r="E21" s="239" t="s">
        <v>15</v>
      </c>
      <c r="F21" s="239" t="s">
        <v>15</v>
      </c>
      <c r="G21" s="239" t="s">
        <v>15</v>
      </c>
      <c r="H21" s="239" t="s">
        <v>15</v>
      </c>
      <c r="I21" s="239" t="s">
        <v>15</v>
      </c>
      <c r="J21" s="239" t="s">
        <v>15</v>
      </c>
      <c r="K21" s="239" t="s">
        <v>15</v>
      </c>
      <c r="L21" s="239" t="s">
        <v>15</v>
      </c>
      <c r="M21" s="239" t="s">
        <v>15</v>
      </c>
      <c r="N21" s="239" t="s">
        <v>15</v>
      </c>
      <c r="O21" s="135"/>
      <c r="P21" s="74">
        <f t="shared" si="0"/>
        <v>1772</v>
      </c>
      <c r="Q21" s="2"/>
    </row>
    <row r="22" spans="1:17" ht="12.75">
      <c r="A22" s="251">
        <v>1977</v>
      </c>
      <c r="B22" s="136"/>
      <c r="C22" s="73">
        <v>65</v>
      </c>
      <c r="D22" s="73">
        <v>688</v>
      </c>
      <c r="E22" s="73">
        <v>109</v>
      </c>
      <c r="F22" s="73">
        <v>120</v>
      </c>
      <c r="G22" s="239" t="s">
        <v>15</v>
      </c>
      <c r="H22" s="239" t="s">
        <v>15</v>
      </c>
      <c r="I22" s="239" t="s">
        <v>15</v>
      </c>
      <c r="J22" s="239" t="s">
        <v>15</v>
      </c>
      <c r="K22" s="239" t="s">
        <v>15</v>
      </c>
      <c r="L22" s="239" t="s">
        <v>15</v>
      </c>
      <c r="M22" s="239" t="s">
        <v>15</v>
      </c>
      <c r="N22" s="239" t="s">
        <v>15</v>
      </c>
      <c r="O22" s="135"/>
      <c r="P22" s="74">
        <f t="shared" si="0"/>
        <v>982</v>
      </c>
      <c r="Q22" s="2"/>
    </row>
    <row r="23" spans="1:17" ht="12.75">
      <c r="A23" s="251">
        <v>1978</v>
      </c>
      <c r="B23" s="136"/>
      <c r="C23" s="73">
        <v>61</v>
      </c>
      <c r="D23" s="73">
        <v>383</v>
      </c>
      <c r="E23" s="73">
        <v>105</v>
      </c>
      <c r="F23" s="73">
        <v>267</v>
      </c>
      <c r="G23" s="73">
        <v>164</v>
      </c>
      <c r="H23" s="239" t="s">
        <v>15</v>
      </c>
      <c r="I23" s="239" t="s">
        <v>15</v>
      </c>
      <c r="J23" s="239" t="s">
        <v>15</v>
      </c>
      <c r="K23" s="239" t="s">
        <v>15</v>
      </c>
      <c r="L23" s="239" t="s">
        <v>15</v>
      </c>
      <c r="M23" s="239" t="s">
        <v>15</v>
      </c>
      <c r="N23" s="239" t="s">
        <v>15</v>
      </c>
      <c r="O23" s="135"/>
      <c r="P23" s="74">
        <f t="shared" si="0"/>
        <v>980</v>
      </c>
      <c r="Q23" s="2"/>
    </row>
    <row r="24" spans="1:17" ht="12.75">
      <c r="A24" s="251">
        <v>1979</v>
      </c>
      <c r="B24" s="136"/>
      <c r="C24" s="73">
        <v>74</v>
      </c>
      <c r="D24" s="73">
        <v>274</v>
      </c>
      <c r="E24" s="73">
        <v>11</v>
      </c>
      <c r="F24" s="73">
        <v>371</v>
      </c>
      <c r="G24" s="73">
        <v>429</v>
      </c>
      <c r="H24" s="239" t="s">
        <v>15</v>
      </c>
      <c r="I24" s="239" t="s">
        <v>15</v>
      </c>
      <c r="J24" s="239" t="s">
        <v>15</v>
      </c>
      <c r="K24" s="239" t="s">
        <v>15</v>
      </c>
      <c r="L24" s="239" t="s">
        <v>15</v>
      </c>
      <c r="M24" s="239" t="s">
        <v>15</v>
      </c>
      <c r="N24" s="239" t="s">
        <v>15</v>
      </c>
      <c r="O24" s="135"/>
      <c r="P24" s="74">
        <f t="shared" si="0"/>
        <v>1159</v>
      </c>
      <c r="Q24" s="2"/>
    </row>
    <row r="25" spans="1:17" ht="12.75">
      <c r="A25" s="251">
        <v>1980</v>
      </c>
      <c r="B25" s="136"/>
      <c r="C25" s="73">
        <v>61</v>
      </c>
      <c r="D25" s="73">
        <v>292</v>
      </c>
      <c r="E25" s="73">
        <v>672</v>
      </c>
      <c r="F25" s="73">
        <v>302</v>
      </c>
      <c r="G25" s="73">
        <v>267</v>
      </c>
      <c r="H25" s="239" t="s">
        <v>15</v>
      </c>
      <c r="I25" s="239" t="s">
        <v>15</v>
      </c>
      <c r="J25" s="239" t="s">
        <v>15</v>
      </c>
      <c r="K25" s="239" t="s">
        <v>15</v>
      </c>
      <c r="L25" s="239" t="s">
        <v>15</v>
      </c>
      <c r="M25" s="239" t="s">
        <v>15</v>
      </c>
      <c r="N25" s="239" t="s">
        <v>15</v>
      </c>
      <c r="O25" s="135"/>
      <c r="P25" s="74">
        <f t="shared" si="0"/>
        <v>1594</v>
      </c>
      <c r="Q25" s="2"/>
    </row>
    <row r="26" spans="1:17" ht="12.75">
      <c r="A26" s="251">
        <v>1981</v>
      </c>
      <c r="B26" s="136"/>
      <c r="C26" s="73">
        <v>68</v>
      </c>
      <c r="D26" s="73">
        <v>99</v>
      </c>
      <c r="E26" s="73">
        <v>670</v>
      </c>
      <c r="F26" s="73">
        <v>89</v>
      </c>
      <c r="G26" s="73">
        <v>300</v>
      </c>
      <c r="H26" s="239" t="s">
        <v>15</v>
      </c>
      <c r="I26" s="239" t="s">
        <v>15</v>
      </c>
      <c r="J26" s="239" t="s">
        <v>15</v>
      </c>
      <c r="K26" s="239" t="s">
        <v>15</v>
      </c>
      <c r="L26" s="239" t="s">
        <v>15</v>
      </c>
      <c r="M26" s="239" t="s">
        <v>15</v>
      </c>
      <c r="N26" s="239" t="s">
        <v>15</v>
      </c>
      <c r="O26" s="135"/>
      <c r="P26" s="74">
        <f t="shared" si="0"/>
        <v>1226</v>
      </c>
      <c r="Q26" s="2"/>
    </row>
    <row r="27" spans="1:17" ht="12.75">
      <c r="A27" s="251">
        <v>1982</v>
      </c>
      <c r="B27" s="136"/>
      <c r="C27" s="73">
        <v>76</v>
      </c>
      <c r="D27" s="73">
        <v>81</v>
      </c>
      <c r="E27" s="73">
        <v>902</v>
      </c>
      <c r="F27" s="73">
        <v>47</v>
      </c>
      <c r="G27" s="73">
        <v>424</v>
      </c>
      <c r="H27" s="239" t="s">
        <v>15</v>
      </c>
      <c r="I27" s="239" t="s">
        <v>15</v>
      </c>
      <c r="J27" s="239" t="s">
        <v>15</v>
      </c>
      <c r="K27" s="239" t="s">
        <v>15</v>
      </c>
      <c r="L27" s="239" t="s">
        <v>15</v>
      </c>
      <c r="M27" s="239" t="s">
        <v>15</v>
      </c>
      <c r="N27" s="239" t="s">
        <v>15</v>
      </c>
      <c r="O27" s="135"/>
      <c r="P27" s="74">
        <f aca="true" t="shared" si="1" ref="P27:P48">SUM(C27:O27)</f>
        <v>1530</v>
      </c>
      <c r="Q27" s="2"/>
    </row>
    <row r="28" spans="1:17" ht="12.75">
      <c r="A28" s="251">
        <v>1983</v>
      </c>
      <c r="B28" s="136"/>
      <c r="C28" s="73">
        <v>79</v>
      </c>
      <c r="D28" s="73">
        <v>85</v>
      </c>
      <c r="E28" s="73">
        <v>2170</v>
      </c>
      <c r="F28" s="73">
        <v>277</v>
      </c>
      <c r="G28" s="73">
        <v>366</v>
      </c>
      <c r="H28" s="239" t="s">
        <v>15</v>
      </c>
      <c r="I28" s="239" t="s">
        <v>15</v>
      </c>
      <c r="J28" s="239" t="s">
        <v>15</v>
      </c>
      <c r="K28" s="239" t="s">
        <v>15</v>
      </c>
      <c r="L28" s="239" t="s">
        <v>15</v>
      </c>
      <c r="M28" s="239" t="s">
        <v>15</v>
      </c>
      <c r="N28" s="239" t="s">
        <v>15</v>
      </c>
      <c r="O28" s="135"/>
      <c r="P28" s="74">
        <f t="shared" si="1"/>
        <v>2977</v>
      </c>
      <c r="Q28" s="2"/>
    </row>
    <row r="29" spans="1:17" ht="12.75">
      <c r="A29" s="251">
        <v>1984</v>
      </c>
      <c r="B29" s="136"/>
      <c r="C29" s="73">
        <v>81</v>
      </c>
      <c r="D29" s="73">
        <v>44</v>
      </c>
      <c r="E29" s="73">
        <v>1623</v>
      </c>
      <c r="F29" s="73">
        <v>295</v>
      </c>
      <c r="G29" s="73">
        <v>202</v>
      </c>
      <c r="H29" s="73">
        <v>71</v>
      </c>
      <c r="I29" s="239" t="s">
        <v>15</v>
      </c>
      <c r="J29" s="239" t="s">
        <v>15</v>
      </c>
      <c r="K29" s="239" t="s">
        <v>15</v>
      </c>
      <c r="L29" s="239" t="s">
        <v>15</v>
      </c>
      <c r="M29" s="239" t="s">
        <v>15</v>
      </c>
      <c r="N29" s="239" t="s">
        <v>15</v>
      </c>
      <c r="O29" s="135"/>
      <c r="P29" s="74">
        <f t="shared" si="1"/>
        <v>2316</v>
      </c>
      <c r="Q29" s="2"/>
    </row>
    <row r="30" spans="1:17" ht="12.75">
      <c r="A30" s="251">
        <v>1985</v>
      </c>
      <c r="B30" s="136"/>
      <c r="C30" s="73">
        <v>86</v>
      </c>
      <c r="D30" s="73">
        <v>79</v>
      </c>
      <c r="E30" s="73">
        <v>1489</v>
      </c>
      <c r="F30" s="73">
        <v>172</v>
      </c>
      <c r="G30" s="73">
        <v>279</v>
      </c>
      <c r="H30" s="73">
        <v>72</v>
      </c>
      <c r="I30" s="73">
        <v>6</v>
      </c>
      <c r="J30" s="239" t="s">
        <v>15</v>
      </c>
      <c r="K30" s="239" t="s">
        <v>15</v>
      </c>
      <c r="L30" s="239" t="s">
        <v>15</v>
      </c>
      <c r="M30" s="239" t="s">
        <v>15</v>
      </c>
      <c r="N30" s="239" t="s">
        <v>15</v>
      </c>
      <c r="O30" s="135"/>
      <c r="P30" s="74">
        <f t="shared" si="1"/>
        <v>2183</v>
      </c>
      <c r="Q30" s="2"/>
    </row>
    <row r="31" spans="1:17" ht="12.75">
      <c r="A31" s="251">
        <v>1986</v>
      </c>
      <c r="B31" s="136"/>
      <c r="C31" s="73">
        <v>90</v>
      </c>
      <c r="D31" s="73">
        <v>80</v>
      </c>
      <c r="E31" s="73">
        <v>1596</v>
      </c>
      <c r="F31" s="73">
        <v>22</v>
      </c>
      <c r="G31" s="239" t="s">
        <v>15</v>
      </c>
      <c r="H31" s="73">
        <v>53</v>
      </c>
      <c r="I31" s="239" t="s">
        <v>15</v>
      </c>
      <c r="J31" s="239" t="s">
        <v>15</v>
      </c>
      <c r="K31" s="73">
        <v>17</v>
      </c>
      <c r="L31" s="239" t="s">
        <v>15</v>
      </c>
      <c r="M31" s="239" t="s">
        <v>15</v>
      </c>
      <c r="N31" s="239" t="s">
        <v>15</v>
      </c>
      <c r="O31" s="135"/>
      <c r="P31" s="74">
        <f t="shared" si="1"/>
        <v>1858</v>
      </c>
      <c r="Q31" s="2"/>
    </row>
    <row r="32" spans="1:17" ht="12.75">
      <c r="A32" s="251">
        <v>1987</v>
      </c>
      <c r="B32" s="136"/>
      <c r="C32" s="73">
        <v>66</v>
      </c>
      <c r="D32" s="73">
        <v>58</v>
      </c>
      <c r="E32" s="239" t="s">
        <v>15</v>
      </c>
      <c r="F32" s="239" t="s">
        <v>15</v>
      </c>
      <c r="G32" s="239" t="s">
        <v>15</v>
      </c>
      <c r="H32" s="239" t="s">
        <v>15</v>
      </c>
      <c r="I32" s="239" t="s">
        <v>15</v>
      </c>
      <c r="J32" s="73">
        <v>1463</v>
      </c>
      <c r="K32" s="73">
        <v>55</v>
      </c>
      <c r="L32" s="239" t="s">
        <v>15</v>
      </c>
      <c r="M32" s="239" t="s">
        <v>15</v>
      </c>
      <c r="N32" s="239" t="s">
        <v>15</v>
      </c>
      <c r="O32" s="135"/>
      <c r="P32" s="74">
        <f t="shared" si="1"/>
        <v>1642</v>
      </c>
      <c r="Q32" s="2"/>
    </row>
    <row r="33" spans="1:17" ht="12.75">
      <c r="A33" s="251">
        <v>1988</v>
      </c>
      <c r="B33" s="136"/>
      <c r="C33" s="73">
        <v>53</v>
      </c>
      <c r="D33" s="73">
        <v>40</v>
      </c>
      <c r="E33" s="239" t="s">
        <v>15</v>
      </c>
      <c r="F33" s="239" t="s">
        <v>15</v>
      </c>
      <c r="G33" s="239" t="s">
        <v>15</v>
      </c>
      <c r="H33" s="239" t="s">
        <v>15</v>
      </c>
      <c r="I33" s="239" t="s">
        <v>15</v>
      </c>
      <c r="J33" s="73">
        <v>1313</v>
      </c>
      <c r="K33" s="73">
        <v>77</v>
      </c>
      <c r="L33" s="239" t="s">
        <v>15</v>
      </c>
      <c r="M33" s="239" t="s">
        <v>15</v>
      </c>
      <c r="N33" s="239" t="s">
        <v>15</v>
      </c>
      <c r="O33" s="135"/>
      <c r="P33" s="74">
        <f t="shared" si="1"/>
        <v>1483</v>
      </c>
      <c r="Q33" s="2"/>
    </row>
    <row r="34" spans="1:17" ht="12.75">
      <c r="A34" s="251">
        <v>1989</v>
      </c>
      <c r="B34" s="136"/>
      <c r="C34" s="73">
        <v>37</v>
      </c>
      <c r="D34" s="239" t="s">
        <v>15</v>
      </c>
      <c r="E34" s="239" t="s">
        <v>15</v>
      </c>
      <c r="F34" s="239" t="s">
        <v>15</v>
      </c>
      <c r="G34" s="239" t="s">
        <v>15</v>
      </c>
      <c r="H34" s="239" t="s">
        <v>15</v>
      </c>
      <c r="I34" s="239" t="s">
        <v>15</v>
      </c>
      <c r="J34" s="73">
        <v>874</v>
      </c>
      <c r="K34" s="73">
        <v>126</v>
      </c>
      <c r="L34" s="239" t="s">
        <v>15</v>
      </c>
      <c r="M34" s="239" t="s">
        <v>15</v>
      </c>
      <c r="N34" s="239" t="s">
        <v>15</v>
      </c>
      <c r="O34" s="135"/>
      <c r="P34" s="74">
        <f t="shared" si="1"/>
        <v>1037</v>
      </c>
      <c r="Q34" s="2"/>
    </row>
    <row r="35" spans="1:17" ht="12.75">
      <c r="A35" s="251">
        <v>1990</v>
      </c>
      <c r="B35" s="136"/>
      <c r="C35" s="73">
        <v>29</v>
      </c>
      <c r="D35" s="239" t="s">
        <v>15</v>
      </c>
      <c r="E35" s="239" t="s">
        <v>15</v>
      </c>
      <c r="F35" s="239" t="s">
        <v>15</v>
      </c>
      <c r="G35" s="239" t="s">
        <v>15</v>
      </c>
      <c r="H35" s="239" t="s">
        <v>15</v>
      </c>
      <c r="I35" s="239" t="s">
        <v>15</v>
      </c>
      <c r="J35" s="73">
        <v>674</v>
      </c>
      <c r="K35" s="73">
        <v>93</v>
      </c>
      <c r="L35" s="239" t="s">
        <v>15</v>
      </c>
      <c r="M35" s="239" t="s">
        <v>15</v>
      </c>
      <c r="N35" s="239" t="s">
        <v>15</v>
      </c>
      <c r="O35" s="135"/>
      <c r="P35" s="74">
        <f t="shared" si="1"/>
        <v>796</v>
      </c>
      <c r="Q35" s="2"/>
    </row>
    <row r="36" spans="1:17" ht="12.75">
      <c r="A36" s="251">
        <v>1991</v>
      </c>
      <c r="B36" s="136"/>
      <c r="C36" s="73">
        <v>26</v>
      </c>
      <c r="D36" s="239" t="s">
        <v>15</v>
      </c>
      <c r="E36" s="239" t="s">
        <v>15</v>
      </c>
      <c r="F36" s="239" t="s">
        <v>15</v>
      </c>
      <c r="G36" s="239" t="s">
        <v>15</v>
      </c>
      <c r="H36" s="239" t="s">
        <v>15</v>
      </c>
      <c r="I36" s="239" t="s">
        <v>15</v>
      </c>
      <c r="J36" s="73">
        <v>963</v>
      </c>
      <c r="K36" s="73">
        <v>78</v>
      </c>
      <c r="L36" s="239" t="s">
        <v>15</v>
      </c>
      <c r="M36" s="239" t="s">
        <v>15</v>
      </c>
      <c r="N36" s="239" t="s">
        <v>15</v>
      </c>
      <c r="O36" s="135"/>
      <c r="P36" s="74">
        <f t="shared" si="1"/>
        <v>1067</v>
      </c>
      <c r="Q36" s="2"/>
    </row>
    <row r="37" spans="1:17" ht="12.75">
      <c r="A37" s="251">
        <v>1992</v>
      </c>
      <c r="B37" s="136"/>
      <c r="C37" s="73">
        <v>20</v>
      </c>
      <c r="D37" s="239" t="s">
        <v>15</v>
      </c>
      <c r="E37" s="239" t="s">
        <v>15</v>
      </c>
      <c r="F37" s="239" t="s">
        <v>15</v>
      </c>
      <c r="G37" s="239" t="s">
        <v>15</v>
      </c>
      <c r="H37" s="239" t="s">
        <v>15</v>
      </c>
      <c r="I37" s="239" t="s">
        <v>15</v>
      </c>
      <c r="J37" s="73">
        <v>993</v>
      </c>
      <c r="K37" s="73">
        <v>59</v>
      </c>
      <c r="L37" s="239" t="s">
        <v>15</v>
      </c>
      <c r="M37" s="239" t="s">
        <v>15</v>
      </c>
      <c r="N37" s="239" t="s">
        <v>15</v>
      </c>
      <c r="O37" s="135"/>
      <c r="P37" s="74">
        <f t="shared" si="1"/>
        <v>1072</v>
      </c>
      <c r="Q37" s="2"/>
    </row>
    <row r="38" spans="1:17" ht="12.75">
      <c r="A38" s="251">
        <v>1993</v>
      </c>
      <c r="B38" s="136"/>
      <c r="C38" s="73">
        <v>17</v>
      </c>
      <c r="D38" s="239" t="s">
        <v>15</v>
      </c>
      <c r="E38" s="239" t="s">
        <v>15</v>
      </c>
      <c r="F38" s="239" t="s">
        <v>15</v>
      </c>
      <c r="G38" s="239" t="s">
        <v>15</v>
      </c>
      <c r="H38" s="239" t="s">
        <v>15</v>
      </c>
      <c r="I38" s="239" t="s">
        <v>15</v>
      </c>
      <c r="J38" s="73">
        <v>833</v>
      </c>
      <c r="K38" s="73">
        <v>25</v>
      </c>
      <c r="L38" s="239" t="s">
        <v>15</v>
      </c>
      <c r="M38" s="239" t="s">
        <v>15</v>
      </c>
      <c r="N38" s="239" t="s">
        <v>15</v>
      </c>
      <c r="O38" s="135"/>
      <c r="P38" s="74">
        <f t="shared" si="1"/>
        <v>875</v>
      </c>
      <c r="Q38" s="2"/>
    </row>
    <row r="39" spans="1:17" ht="12.75">
      <c r="A39" s="251">
        <v>1994</v>
      </c>
      <c r="B39" s="136"/>
      <c r="C39" s="73">
        <v>16</v>
      </c>
      <c r="D39" s="239" t="s">
        <v>15</v>
      </c>
      <c r="E39" s="239" t="s">
        <v>15</v>
      </c>
      <c r="F39" s="239" t="s">
        <v>15</v>
      </c>
      <c r="G39" s="239" t="s">
        <v>15</v>
      </c>
      <c r="H39" s="239" t="s">
        <v>15</v>
      </c>
      <c r="I39" s="239" t="s">
        <v>15</v>
      </c>
      <c r="J39" s="73">
        <v>786</v>
      </c>
      <c r="K39" s="73">
        <v>5</v>
      </c>
      <c r="L39" s="239" t="s">
        <v>15</v>
      </c>
      <c r="M39" s="239" t="s">
        <v>15</v>
      </c>
      <c r="N39" s="239" t="s">
        <v>15</v>
      </c>
      <c r="O39" s="135"/>
      <c r="P39" s="74">
        <f t="shared" si="1"/>
        <v>807</v>
      </c>
      <c r="Q39" s="2"/>
    </row>
    <row r="40" spans="1:17" ht="12.75">
      <c r="A40" s="251">
        <v>1995</v>
      </c>
      <c r="B40" s="136"/>
      <c r="C40" s="73">
        <v>14</v>
      </c>
      <c r="D40" s="239" t="s">
        <v>15</v>
      </c>
      <c r="E40" s="239" t="s">
        <v>15</v>
      </c>
      <c r="F40" s="239" t="s">
        <v>15</v>
      </c>
      <c r="G40" s="239" t="s">
        <v>15</v>
      </c>
      <c r="H40" s="239" t="s">
        <v>15</v>
      </c>
      <c r="I40" s="239" t="s">
        <v>15</v>
      </c>
      <c r="J40" s="73">
        <v>636</v>
      </c>
      <c r="K40" s="73">
        <v>1</v>
      </c>
      <c r="L40" s="73">
        <v>1</v>
      </c>
      <c r="M40" s="239" t="s">
        <v>15</v>
      </c>
      <c r="N40" s="239" t="s">
        <v>15</v>
      </c>
      <c r="O40" s="135"/>
      <c r="P40" s="74">
        <f t="shared" si="1"/>
        <v>652</v>
      </c>
      <c r="Q40" s="2"/>
    </row>
    <row r="41" spans="1:17" ht="12.75">
      <c r="A41" s="251">
        <v>1996</v>
      </c>
      <c r="B41" s="136"/>
      <c r="C41" s="73">
        <v>15</v>
      </c>
      <c r="D41" s="239" t="s">
        <v>15</v>
      </c>
      <c r="E41" s="239" t="s">
        <v>15</v>
      </c>
      <c r="F41" s="239" t="s">
        <v>15</v>
      </c>
      <c r="G41" s="239" t="s">
        <v>15</v>
      </c>
      <c r="H41" s="239" t="s">
        <v>15</v>
      </c>
      <c r="I41" s="239" t="s">
        <v>15</v>
      </c>
      <c r="J41" s="73">
        <v>406</v>
      </c>
      <c r="K41" s="239" t="s">
        <v>15</v>
      </c>
      <c r="L41" s="73">
        <v>6</v>
      </c>
      <c r="M41" s="239">
        <v>89</v>
      </c>
      <c r="N41" s="239" t="s">
        <v>15</v>
      </c>
      <c r="O41" s="135"/>
      <c r="P41" s="74">
        <f t="shared" si="1"/>
        <v>516</v>
      </c>
      <c r="Q41" s="2"/>
    </row>
    <row r="42" spans="1:17" ht="12.75">
      <c r="A42" s="343">
        <v>1997</v>
      </c>
      <c r="B42" s="341"/>
      <c r="C42" s="344">
        <v>12</v>
      </c>
      <c r="D42" s="345" t="s">
        <v>15</v>
      </c>
      <c r="E42" s="345" t="s">
        <v>15</v>
      </c>
      <c r="F42" s="345" t="s">
        <v>15</v>
      </c>
      <c r="G42" s="345" t="s">
        <v>15</v>
      </c>
      <c r="H42" s="345" t="s">
        <v>15</v>
      </c>
      <c r="I42" s="345" t="s">
        <v>15</v>
      </c>
      <c r="J42" s="344">
        <v>182</v>
      </c>
      <c r="K42" s="345" t="s">
        <v>15</v>
      </c>
      <c r="L42" s="344">
        <v>1</v>
      </c>
      <c r="M42" s="345">
        <v>117</v>
      </c>
      <c r="N42" s="345">
        <v>66</v>
      </c>
      <c r="O42" s="342"/>
      <c r="P42" s="346">
        <f t="shared" si="1"/>
        <v>378</v>
      </c>
      <c r="Q42" s="2"/>
    </row>
    <row r="43" spans="1:17" ht="12.75">
      <c r="A43" s="343">
        <v>1998</v>
      </c>
      <c r="B43" s="341"/>
      <c r="C43" s="344">
        <v>12</v>
      </c>
      <c r="D43" s="345" t="s">
        <v>15</v>
      </c>
      <c r="E43" s="345" t="s">
        <v>15</v>
      </c>
      <c r="F43" s="345" t="s">
        <v>15</v>
      </c>
      <c r="G43" s="345" t="s">
        <v>15</v>
      </c>
      <c r="H43" s="345" t="s">
        <v>15</v>
      </c>
      <c r="I43" s="345" t="s">
        <v>15</v>
      </c>
      <c r="J43" s="344">
        <v>137</v>
      </c>
      <c r="K43" s="345" t="s">
        <v>15</v>
      </c>
      <c r="L43" s="345" t="s">
        <v>15</v>
      </c>
      <c r="M43" s="345">
        <v>95</v>
      </c>
      <c r="N43" s="345">
        <v>287</v>
      </c>
      <c r="O43" s="342"/>
      <c r="P43" s="346">
        <f>SUM(C43:O43)</f>
        <v>531</v>
      </c>
      <c r="Q43" s="2"/>
    </row>
    <row r="44" spans="1:17" ht="12.75">
      <c r="A44" s="343">
        <v>1999</v>
      </c>
      <c r="B44" s="341"/>
      <c r="C44" s="344">
        <v>11</v>
      </c>
      <c r="D44" s="345" t="s">
        <v>15</v>
      </c>
      <c r="E44" s="345" t="s">
        <v>15</v>
      </c>
      <c r="F44" s="345" t="s">
        <v>15</v>
      </c>
      <c r="G44" s="345" t="s">
        <v>15</v>
      </c>
      <c r="H44" s="345" t="s">
        <v>15</v>
      </c>
      <c r="I44" s="345" t="s">
        <v>15</v>
      </c>
      <c r="J44" s="344">
        <v>136</v>
      </c>
      <c r="K44" s="345" t="s">
        <v>15</v>
      </c>
      <c r="L44" s="345" t="s">
        <v>15</v>
      </c>
      <c r="M44" s="345">
        <v>51</v>
      </c>
      <c r="N44" s="345">
        <v>102</v>
      </c>
      <c r="O44" s="342"/>
      <c r="P44" s="346">
        <f>SUM(C44:O44)</f>
        <v>300</v>
      </c>
      <c r="Q44" s="2"/>
    </row>
    <row r="45" spans="1:17" ht="12.75">
      <c r="A45" s="343">
        <v>2000</v>
      </c>
      <c r="B45" s="341"/>
      <c r="C45" s="344">
        <v>8</v>
      </c>
      <c r="D45" s="345" t="s">
        <v>15</v>
      </c>
      <c r="E45" s="345" t="s">
        <v>15</v>
      </c>
      <c r="F45" s="345" t="s">
        <v>15</v>
      </c>
      <c r="G45" s="345" t="s">
        <v>15</v>
      </c>
      <c r="H45" s="345" t="s">
        <v>15</v>
      </c>
      <c r="I45" s="345" t="s">
        <v>15</v>
      </c>
      <c r="J45" s="344">
        <v>127</v>
      </c>
      <c r="K45" s="345" t="s">
        <v>15</v>
      </c>
      <c r="L45" s="345" t="s">
        <v>15</v>
      </c>
      <c r="M45" s="345">
        <v>38</v>
      </c>
      <c r="N45" s="345">
        <v>56</v>
      </c>
      <c r="O45" s="342"/>
      <c r="P45" s="346">
        <f>SUM(C45:O45)</f>
        <v>229</v>
      </c>
      <c r="Q45" s="2"/>
    </row>
    <row r="46" spans="1:16" ht="12.75">
      <c r="A46" s="343">
        <v>2001</v>
      </c>
      <c r="B46" s="341"/>
      <c r="C46" s="344">
        <v>8</v>
      </c>
      <c r="D46" s="345" t="s">
        <v>15</v>
      </c>
      <c r="E46" s="345" t="s">
        <v>15</v>
      </c>
      <c r="F46" s="345" t="s">
        <v>15</v>
      </c>
      <c r="G46" s="345" t="s">
        <v>15</v>
      </c>
      <c r="H46" s="345" t="s">
        <v>15</v>
      </c>
      <c r="I46" s="345" t="s">
        <v>15</v>
      </c>
      <c r="J46" s="344">
        <v>120</v>
      </c>
      <c r="K46" s="345" t="s">
        <v>15</v>
      </c>
      <c r="L46" s="345" t="s">
        <v>15</v>
      </c>
      <c r="M46" s="345">
        <v>166</v>
      </c>
      <c r="N46" s="345">
        <v>44</v>
      </c>
      <c r="O46" s="342"/>
      <c r="P46" s="346">
        <f t="shared" si="1"/>
        <v>338</v>
      </c>
    </row>
    <row r="47" spans="1:16" ht="12.75">
      <c r="A47" s="343">
        <v>2002</v>
      </c>
      <c r="B47" s="341"/>
      <c r="C47" s="344">
        <v>8</v>
      </c>
      <c r="D47" s="345" t="s">
        <v>15</v>
      </c>
      <c r="E47" s="345" t="s">
        <v>15</v>
      </c>
      <c r="F47" s="345" t="s">
        <v>15</v>
      </c>
      <c r="G47" s="345" t="s">
        <v>15</v>
      </c>
      <c r="H47" s="345" t="s">
        <v>15</v>
      </c>
      <c r="I47" s="345" t="s">
        <v>15</v>
      </c>
      <c r="J47" s="344">
        <v>108</v>
      </c>
      <c r="K47" s="345" t="s">
        <v>15</v>
      </c>
      <c r="L47" s="345" t="s">
        <v>15</v>
      </c>
      <c r="M47" s="345">
        <v>167</v>
      </c>
      <c r="N47" s="345">
        <v>33</v>
      </c>
      <c r="O47" s="342"/>
      <c r="P47" s="346">
        <f t="shared" si="1"/>
        <v>316</v>
      </c>
    </row>
    <row r="48" spans="1:16" ht="12.75">
      <c r="A48" s="343">
        <v>2003</v>
      </c>
      <c r="B48" s="341"/>
      <c r="C48" s="344">
        <v>7</v>
      </c>
      <c r="D48" s="345" t="s">
        <v>15</v>
      </c>
      <c r="E48" s="345" t="s">
        <v>15</v>
      </c>
      <c r="F48" s="345" t="s">
        <v>15</v>
      </c>
      <c r="G48" s="345" t="s">
        <v>15</v>
      </c>
      <c r="H48" s="345" t="s">
        <v>15</v>
      </c>
      <c r="I48" s="345" t="s">
        <v>15</v>
      </c>
      <c r="J48" s="344">
        <v>230</v>
      </c>
      <c r="K48" s="345" t="s">
        <v>15</v>
      </c>
      <c r="L48" s="345" t="s">
        <v>15</v>
      </c>
      <c r="M48" s="345">
        <v>63</v>
      </c>
      <c r="N48" s="345">
        <v>20</v>
      </c>
      <c r="O48" s="342"/>
      <c r="P48" s="346">
        <f t="shared" si="1"/>
        <v>320</v>
      </c>
    </row>
    <row r="49" spans="1:16" ht="13.5" thickBot="1">
      <c r="A49" s="253">
        <v>2004</v>
      </c>
      <c r="B49" s="71"/>
      <c r="C49" s="71">
        <v>6</v>
      </c>
      <c r="D49" s="254" t="s">
        <v>15</v>
      </c>
      <c r="E49" s="254" t="s">
        <v>15</v>
      </c>
      <c r="F49" s="254" t="s">
        <v>15</v>
      </c>
      <c r="G49" s="254" t="s">
        <v>15</v>
      </c>
      <c r="H49" s="254" t="s">
        <v>15</v>
      </c>
      <c r="I49" s="254" t="s">
        <v>15</v>
      </c>
      <c r="J49" s="71">
        <v>173</v>
      </c>
      <c r="K49" s="254" t="s">
        <v>15</v>
      </c>
      <c r="L49" s="254" t="s">
        <v>15</v>
      </c>
      <c r="M49" s="71">
        <v>55</v>
      </c>
      <c r="N49" s="71">
        <v>21</v>
      </c>
      <c r="O49" s="71"/>
      <c r="P49" s="255">
        <f>SUM(C49:O49)</f>
        <v>255</v>
      </c>
    </row>
    <row r="50" spans="1:16" ht="13.5" thickTop="1">
      <c r="A50" s="334"/>
      <c r="B50" s="2"/>
      <c r="C50" s="2"/>
      <c r="D50" s="335"/>
      <c r="E50" s="335"/>
      <c r="F50" s="335"/>
      <c r="G50" s="335"/>
      <c r="H50" s="335"/>
      <c r="I50" s="335"/>
      <c r="J50" s="2"/>
      <c r="K50" s="335"/>
      <c r="L50" s="335"/>
      <c r="M50" s="2"/>
      <c r="N50" s="2"/>
      <c r="O50" s="2"/>
      <c r="P50" s="3"/>
    </row>
    <row r="51" spans="1:16" ht="12.75">
      <c r="A51" s="334"/>
      <c r="B51" s="2"/>
      <c r="C51" s="2"/>
      <c r="D51" s="335"/>
      <c r="E51" s="335"/>
      <c r="F51" s="335"/>
      <c r="G51" s="335"/>
      <c r="H51" s="335"/>
      <c r="I51" s="335"/>
      <c r="J51" s="2"/>
      <c r="K51" s="335"/>
      <c r="L51" s="2"/>
      <c r="M51" s="2"/>
      <c r="N51" s="2"/>
      <c r="O51" s="2"/>
      <c r="P51" s="3"/>
    </row>
    <row r="52" spans="1:16" ht="12.75">
      <c r="A52" s="334"/>
      <c r="B52" s="2"/>
      <c r="C52" s="2"/>
      <c r="D52" s="335"/>
      <c r="E52" s="335"/>
      <c r="F52" s="335"/>
      <c r="G52" s="335"/>
      <c r="H52" s="335"/>
      <c r="I52" s="335"/>
      <c r="J52" s="2"/>
      <c r="K52" s="335"/>
      <c r="L52" s="2"/>
      <c r="M52" s="2"/>
      <c r="N52" s="2"/>
      <c r="O52" s="2"/>
      <c r="P52" s="3"/>
    </row>
    <row r="139" spans="1:3" ht="12.75">
      <c r="A139" s="233"/>
      <c r="C139" s="229"/>
    </row>
  </sheetData>
  <printOptions horizontalCentered="1"/>
  <pageMargins left="0.5905511811023623" right="0.3937007874015748" top="0.5905511811023623" bottom="0.5905511811023623" header="0.5118110236220472" footer="0.31496062992125984"/>
  <pageSetup fitToHeight="1" fitToWidth="1" horizontalDpi="300" verticalDpi="300" orientation="landscape" paperSize="9" scale="81" r:id="rId2"/>
  <headerFooter alignWithMargins="0">
    <oddFooter>&amp;C&amp;9 3.9&amp;R&amp;9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Producción / Production</dc:title>
  <dc:subject/>
  <dc:creator/>
  <cp:keywords/>
  <dc:description/>
  <cp:lastModifiedBy>LMazon</cp:lastModifiedBy>
  <cp:lastPrinted>2005-04-11T11:56:39Z</cp:lastPrinted>
  <dcterms:created xsi:type="dcterms:W3CDTF">2002-07-08T11:56:43Z</dcterms:created>
  <dcterms:modified xsi:type="dcterms:W3CDTF">2005-05-26T11:09:49Z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-884927862</vt:i4>
  </property>
  <property fmtid="{D5CDD505-2E9C-101B-9397-08002B2CF9AE}" pid="4" name="_EmailSubje">
    <vt:lpwstr>3.5</vt:lpwstr>
  </property>
  <property fmtid="{D5CDD505-2E9C-101B-9397-08002B2CF9AE}" pid="5" name="_AuthorEma">
    <vt:lpwstr>lmazon@mityc.es</vt:lpwstr>
  </property>
  <property fmtid="{D5CDD505-2E9C-101B-9397-08002B2CF9AE}" pid="6" name="_AuthorEmailDisplayNa">
    <vt:lpwstr>Mazón Ramos, Luis</vt:lpwstr>
  </property>
  <property fmtid="{D5CDD505-2E9C-101B-9397-08002B2CF9AE}" pid="7" name="Descripci">
    <vt:lpwstr/>
  </property>
  <property fmtid="{D5CDD505-2E9C-101B-9397-08002B2CF9AE}" pid="8" name="Ordenaci">
    <vt:lpwstr>3.00000000000000</vt:lpwstr>
  </property>
  <property fmtid="{D5CDD505-2E9C-101B-9397-08002B2CF9AE}" pid="9" name="ContentTy">
    <vt:lpwstr>Documento</vt:lpwstr>
  </property>
  <property fmtid="{D5CDD505-2E9C-101B-9397-08002B2CF9AE}" pid="10" name="MCLDOrd">
    <vt:lpwstr>500.000000000000</vt:lpwstr>
  </property>
</Properties>
</file>