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120" windowHeight="3690" tabRatio="785" firstSheet="5" activeTab="11"/>
  </bookViews>
  <sheets>
    <sheet name="31PP" sheetId="1" r:id="rId1"/>
    <sheet name="32PMC" sheetId="2" r:id="rId2"/>
    <sheet name="33PAC" sheetId="3" r:id="rId3"/>
    <sheet name="34PG" sheetId="4" r:id="rId4"/>
    <sheet name="35PMG" sheetId="5" r:id="rId5"/>
    <sheet name="36SPPG" sheetId="6" r:id="rId6"/>
    <sheet name="37SPPGI" sheetId="7" r:id="rId7"/>
    <sheet name="38ASG" sheetId="8" r:id="rId8"/>
    <sheet name="39PAP" sheetId="9" r:id="rId9"/>
    <sheet name="310PAG" sheetId="10" r:id="rId10"/>
    <sheet name="311PAGyP" sheetId="11" r:id="rId11"/>
    <sheet name="312CP" sheetId="12" r:id="rId12"/>
  </sheets>
  <definedNames/>
  <calcPr fullCalcOnLoad="1"/>
</workbook>
</file>

<file path=xl/sharedStrings.xml><?xml version="1.0" encoding="utf-8"?>
<sst xmlns="http://schemas.openxmlformats.org/spreadsheetml/2006/main" count="1066" uniqueCount="175">
  <si>
    <t>CUMULATED PRODUCTION</t>
  </si>
  <si>
    <t>CONCESIONES/</t>
  </si>
  <si>
    <t>OPERADOR/</t>
  </si>
  <si>
    <t>CONCESSIONS</t>
  </si>
  <si>
    <t>OPERATOR</t>
  </si>
  <si>
    <t>LORA</t>
  </si>
  <si>
    <t>RIPSA</t>
  </si>
  <si>
    <t>UNITIZACION</t>
  </si>
  <si>
    <t>CASABLANCA-</t>
  </si>
  <si>
    <t>MONTANAZO D</t>
  </si>
  <si>
    <t>ALBATROS</t>
  </si>
  <si>
    <t>RODABALLO</t>
  </si>
  <si>
    <t>ANGULA-</t>
  </si>
  <si>
    <t>CASABLANCA</t>
  </si>
  <si>
    <t>TOTAL</t>
  </si>
  <si>
    <t>-</t>
  </si>
  <si>
    <t>CASABLANCA-MONTANAZO D</t>
  </si>
  <si>
    <t>ANGULA-CASABLANCA</t>
  </si>
  <si>
    <t>MES/MONTH</t>
  </si>
  <si>
    <t>Bbl.</t>
  </si>
  <si>
    <t>ENERO/JANUARY</t>
  </si>
  <si>
    <t>FEBRERO/FEBRUARY</t>
  </si>
  <si>
    <t>MARZO/MARCH</t>
  </si>
  <si>
    <t>ABRIL/APRIL</t>
  </si>
  <si>
    <t>MAYO/MAY</t>
  </si>
  <si>
    <t>JUNIO/JUNE</t>
  </si>
  <si>
    <t>JULIO/JULY</t>
  </si>
  <si>
    <t>AGOSTO/AUGUST</t>
  </si>
  <si>
    <t>SEPTIEMBRE/SEPTEMBER</t>
  </si>
  <si>
    <t>OCTUBRE/OCTOBER</t>
  </si>
  <si>
    <t>NOVIEMBRE/NOVEMBER</t>
  </si>
  <si>
    <t>DICIEMBRE/DECEMBER</t>
  </si>
  <si>
    <t>%</t>
  </si>
  <si>
    <t>Th.</t>
  </si>
  <si>
    <t>T.E.P./O.E.T.</t>
  </si>
  <si>
    <t>OPERATORS</t>
  </si>
  <si>
    <t>MARISMAS</t>
  </si>
  <si>
    <r>
      <t>Nm</t>
    </r>
    <r>
      <rPr>
        <b/>
        <vertAlign val="superscript"/>
        <sz val="10"/>
        <color indexed="8"/>
        <rFont val="Arial"/>
        <family val="0"/>
      </rPr>
      <t>3</t>
    </r>
  </si>
  <si>
    <t>3.6</t>
  </si>
  <si>
    <t>TOTAL OIL AND GAS PRODUCTION IN ACTIVE FIELDS</t>
  </si>
  <si>
    <t>ALBATROS (*)</t>
  </si>
  <si>
    <t>TOTAL (1)</t>
  </si>
  <si>
    <t>(*) EL GAS NATURAL EXPRESADO EN T.E.P. / NATURAL GAS IN O.E.T. (OIL EQUIVALENT TONNES).</t>
  </si>
  <si>
    <t>3.7</t>
  </si>
  <si>
    <t xml:space="preserve">TOTAL OIL AND GAS PRODUCTION IN INACTIVE FIELDS. </t>
  </si>
  <si>
    <t>CASTILLO (*)</t>
  </si>
  <si>
    <t>SAN CARLOS I y II</t>
  </si>
  <si>
    <t>TARRACO</t>
  </si>
  <si>
    <t>DORADA</t>
  </si>
  <si>
    <t>SERRABLO (*)</t>
  </si>
  <si>
    <t>SALMONETE</t>
  </si>
  <si>
    <t>GAVIOTA I y II (*)</t>
  </si>
  <si>
    <t>GAVIOTA I y II</t>
  </si>
  <si>
    <t>(*)</t>
  </si>
  <si>
    <t>EL GAS NATURAL EXPRESADO EN T.E.P. / NATURAL GAS IN O.E.T. (OIL EQUIVALENT TONNES)</t>
  </si>
  <si>
    <t>3.8</t>
  </si>
  <si>
    <t>SERRABLO</t>
  </si>
  <si>
    <t>ACUMULADO/CUMULATED</t>
  </si>
  <si>
    <t>INJECTION</t>
  </si>
  <si>
    <t>GAVIOTA</t>
  </si>
  <si>
    <t>3.9</t>
  </si>
  <si>
    <t>ANO/</t>
  </si>
  <si>
    <t>YEAR</t>
  </si>
  <si>
    <t>AMPOSTA</t>
  </si>
  <si>
    <t>ANGULA</t>
  </si>
  <si>
    <t>I y II</t>
  </si>
  <si>
    <t>3.10</t>
  </si>
  <si>
    <r>
      <t xml:space="preserve">    Miles de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/ Thousand Nm</t>
    </r>
    <r>
      <rPr>
        <b/>
        <vertAlign val="superscript"/>
        <sz val="10"/>
        <color indexed="8"/>
        <rFont val="Arial"/>
        <family val="2"/>
      </rPr>
      <t>3</t>
    </r>
  </si>
  <si>
    <t>CASTILLO</t>
  </si>
  <si>
    <t>3.11</t>
  </si>
  <si>
    <t>GAS/GAS</t>
  </si>
  <si>
    <t>3.12</t>
  </si>
  <si>
    <t/>
  </si>
  <si>
    <t>CAMPO / FIELD</t>
  </si>
  <si>
    <t>%INC</t>
  </si>
  <si>
    <t>CRUDO / OIL</t>
  </si>
  <si>
    <t>AYOLUENGO</t>
  </si>
  <si>
    <t>SUBTOTAL</t>
  </si>
  <si>
    <t>GAS / GAS</t>
  </si>
  <si>
    <t>MARISMAS (t.e.p.)</t>
  </si>
  <si>
    <t>Braket numbers show decreasing percentages.</t>
  </si>
  <si>
    <r>
      <t>Nm</t>
    </r>
    <r>
      <rPr>
        <b/>
        <vertAlign val="superscript"/>
        <sz val="10"/>
        <rFont val="Arial"/>
        <family val="2"/>
      </rPr>
      <t>3</t>
    </r>
  </si>
  <si>
    <t>EL RUEDO</t>
  </si>
  <si>
    <t>LAS BARRERAS</t>
  </si>
  <si>
    <t>NUELGAS</t>
  </si>
  <si>
    <t>LAS BARRERAS (*)</t>
  </si>
  <si>
    <t>LAS</t>
  </si>
  <si>
    <t>BARRERAS</t>
  </si>
  <si>
    <t>EL RUEDO (t.e.p.)</t>
  </si>
  <si>
    <t>LAS BARRERAS (t.e.p.)</t>
  </si>
  <si>
    <t>% (*)</t>
  </si>
  <si>
    <t>LORA              (1)</t>
  </si>
  <si>
    <t>RODABALLO   (3)</t>
  </si>
  <si>
    <t>(1)</t>
  </si>
  <si>
    <t>(2)</t>
  </si>
  <si>
    <t>(3)</t>
  </si>
  <si>
    <t>(4)</t>
  </si>
  <si>
    <t>Notas:</t>
  </si>
  <si>
    <t>LAS BARRERAS  (4)</t>
  </si>
  <si>
    <t>MARISMAS          (1)</t>
  </si>
  <si>
    <t>Los datos reflejados en las concesiones referenciadas incluyen las producciones de las</t>
  </si>
  <si>
    <t>siguientes estructuras o campos de producción:</t>
  </si>
  <si>
    <t>Ayoluengo.</t>
  </si>
  <si>
    <t>Boquerón.</t>
  </si>
  <si>
    <t>Los datos reflejados en las concesiones referenciadas incluyen las siguientes producciones:</t>
  </si>
  <si>
    <t>MARISMAS B núm.1, MARISMAS C núm. 1, MARISMAS C núm. 2, REBUJENA y MARISMAS A.</t>
  </si>
  <si>
    <t>LAS BARRERAS.</t>
  </si>
  <si>
    <t>EL RUEDO-1, EL RUEDO-2 y EL RUEDO-3.</t>
  </si>
  <si>
    <t>Las cantidades entre paréntesis significan disminución porcentual. /</t>
  </si>
  <si>
    <t>Rodaballo y Chipirón.</t>
  </si>
  <si>
    <t>NORTHERN</t>
  </si>
  <si>
    <t>Casablanca y Barracuda.</t>
  </si>
  <si>
    <t>EL RUEDO           (3)</t>
  </si>
  <si>
    <t>UNDERGROUND GAS STORAGE</t>
  </si>
  <si>
    <t>EMISSION</t>
  </si>
  <si>
    <t>ALMACENAMIENTOS SUBTERRÁNEOS DE GAS /</t>
  </si>
  <si>
    <t>INYECCIÓN/</t>
  </si>
  <si>
    <t>EMISIÓN/</t>
  </si>
  <si>
    <t>3.1  PRODUCCIÓN DE PETRÓLEO / OIL PRODUCTION</t>
  </si>
  <si>
    <t>PRODUCCIÓN ACUMULADA/</t>
  </si>
  <si>
    <t>PRODUCCIÓN/PRODUCTION</t>
  </si>
  <si>
    <t xml:space="preserve">3.2  PRODUCCIÓN MENSUAL DE CRUDO / MONTHLY OIL PRODUCTION </t>
  </si>
  <si>
    <t xml:space="preserve">3.3  PRODUCCIÓN ACUMULADA DE CRUDO / CUMULATED OIL PRODUCTION </t>
  </si>
  <si>
    <t>3.4  PRODUCCIÓN DE GAS / GAS PRODUCTION</t>
  </si>
  <si>
    <t>PRODUCCIÓN ACUMULADA/CUMULATED PRODUCTION</t>
  </si>
  <si>
    <t>POSEIDÓN          (2)</t>
  </si>
  <si>
    <t>POSEIDÓN NORTE y POSEIDÓN SUR.</t>
  </si>
  <si>
    <t>3.5  PRODUCCIÓN MENSUAL DE GAS / MONTHLY GAS PRODUCTION</t>
  </si>
  <si>
    <t>POSEIDÓN</t>
  </si>
  <si>
    <t>PRODUCCIÓN ACUMULADA / CUMULATED PRODUCTION</t>
  </si>
  <si>
    <t>SUMA DE PRODUCCIONES DE PETRÓLEO Y GAS NATURAL CAMPOS ACTIVOS /</t>
  </si>
  <si>
    <t>PRODUCCIÓN ACUMULADA /</t>
  </si>
  <si>
    <t>PRODUCCIÓN / PRODUCTION</t>
  </si>
  <si>
    <t>(1) PETRÓLEO + GAS NATURAL. / OIL + NATURAL GAS.</t>
  </si>
  <si>
    <t>PRODUCCIONES DE PETRÓLEO Y GAS NATURAL EN CAMPOS INACTIVOS /</t>
  </si>
  <si>
    <t>PETRÓLEO + GAS NATURAL. / OIL + NATURAL GAS.</t>
  </si>
  <si>
    <t>PRODUCCIÓN ANUAL DE HIDROCARBUROS POR CAMPOS DE PETRÓLEO / ANNUAL FIELDS OIL PRODUCTION</t>
  </si>
  <si>
    <t>PRODUCCIÓN ANUAL DE HIDROCARBUROS POR CAMPOS DE GAS / ANNUAL FIELDS GAS PRODUCTION</t>
  </si>
  <si>
    <t>PRODUCCIÓN ANUAL DE GAS Y PETRÓLEO / ANNUAL GAS AND OIL PRODUCTION</t>
  </si>
  <si>
    <t>PETRÓLEO/OIL</t>
  </si>
  <si>
    <t>POSEIDÓN (t.e.p.)</t>
  </si>
  <si>
    <t>EL ROMERAL      (5)</t>
  </si>
  <si>
    <t>(5)</t>
  </si>
  <si>
    <t>EL ROMERAL 1, EL ROMERAL 2 y EL ROMERAL 3.</t>
  </si>
  <si>
    <r>
      <t>Nm</t>
    </r>
    <r>
      <rPr>
        <b/>
        <vertAlign val="superscript"/>
        <sz val="9"/>
        <rFont val="Arial"/>
        <family val="2"/>
      </rPr>
      <t>3</t>
    </r>
  </si>
  <si>
    <t>EL ROMERAL</t>
  </si>
  <si>
    <t>MARISMAS         (*)</t>
  </si>
  <si>
    <t>POSEIDÓN         (*)</t>
  </si>
  <si>
    <t>EL RUEDO         (*)</t>
  </si>
  <si>
    <t>EL ROMERAL     (*)</t>
  </si>
  <si>
    <t>EL</t>
  </si>
  <si>
    <t>ROMERAL</t>
  </si>
  <si>
    <t>EL ROMERAL (t.e.p.)</t>
  </si>
  <si>
    <t>bbl/día</t>
  </si>
  <si>
    <t>a 31/12/2004</t>
  </si>
  <si>
    <t>Tm</t>
  </si>
  <si>
    <t>Bbl</t>
  </si>
  <si>
    <t>Calculados respecto a las cantidades en toneladas. / Calculations based on column Tm.</t>
  </si>
  <si>
    <t>UNITIZACIÓN   (2)</t>
  </si>
  <si>
    <t>UNITIZACIÓN   (4)</t>
  </si>
  <si>
    <t>datos para el gráfico</t>
  </si>
  <si>
    <t>UNITIZACIÓN CASABLANCA-MONTANAZO D</t>
  </si>
  <si>
    <t>UNITIZACIÓN ANGULA-CASABLANCA</t>
  </si>
  <si>
    <t>UNITIZACIÓN</t>
  </si>
  <si>
    <t>PETROLEUM</t>
  </si>
  <si>
    <t>Miles de Tm / Thousand Tm</t>
  </si>
  <si>
    <t>(Miles de Tm/Thousand Tm)</t>
  </si>
  <si>
    <t>(Miles de Tep/Thousand OET)</t>
  </si>
  <si>
    <t>TOTAL (Tm)</t>
  </si>
  <si>
    <t>Miles Tep</t>
  </si>
  <si>
    <t>(*) Calculados respecto a las cantidades en T.E.P. (toneladas equivalentes de petróleo). / Calculations based on column in O.E.T. (oil equivalent tonnes).</t>
  </si>
  <si>
    <t>Tm / T.E.P.</t>
  </si>
  <si>
    <t>COMPARACIÓN DE LAS PRODUCCIONES DE 2004 y 2005 /</t>
  </si>
  <si>
    <t>2004 - 2005 COMPARATIVE PRODUCTION</t>
  </si>
  <si>
    <t>media diaria anual: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</si>
</sst>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#,##0.0"/>
    <numFmt numFmtId="183" formatCode="#,##0.00_);\(#,##0.00\)"/>
    <numFmt numFmtId="184" formatCode="0.0%"/>
    <numFmt numFmtId="185" formatCode="General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mmmmm"/>
    <numFmt numFmtId="192" formatCode="mmm"/>
    <numFmt numFmtId="193" formatCode="yy"/>
    <numFmt numFmtId="194" formatCode="yyyy"/>
    <numFmt numFmtId="195" formatCode="mmmm\-yy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"/>
    <numFmt numFmtId="201" formatCode="#,##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Arial"/>
      <family val="0"/>
    </font>
    <font>
      <b/>
      <sz val="12"/>
      <name val="Arial"/>
      <family val="2"/>
    </font>
    <font>
      <b/>
      <u val="single"/>
      <sz val="14"/>
      <color indexed="8"/>
      <name val="Arial"/>
      <family val="0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6.5"/>
      <color indexed="16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4"/>
      <color indexed="63"/>
      <name val="Arial"/>
      <family val="2"/>
    </font>
    <font>
      <sz val="9"/>
      <name val="Arial"/>
      <family val="0"/>
    </font>
    <font>
      <sz val="4.75"/>
      <name val="Arial"/>
      <family val="0"/>
    </font>
    <font>
      <b/>
      <u val="single"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.75"/>
      <name val="Arial"/>
      <family val="2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centerContinuous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 applyProtection="1">
      <alignment horizontal="centerContinuous"/>
      <protection/>
    </xf>
    <xf numFmtId="3" fontId="5" fillId="0" borderId="13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Continuous"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5" fillId="0" borderId="27" xfId="0" applyNumberFormat="1" applyFont="1" applyFill="1" applyBorder="1" applyAlignment="1" applyProtection="1">
      <alignment horizontal="center"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35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 horizontal="centerContinuous"/>
      <protection/>
    </xf>
    <xf numFmtId="182" fontId="1" fillId="0" borderId="0" xfId="0" applyNumberFormat="1" applyFont="1" applyBorder="1" applyAlignment="1">
      <alignment horizontal="centerContinuous"/>
    </xf>
    <xf numFmtId="182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 applyProtection="1">
      <alignment/>
      <protection/>
    </xf>
    <xf numFmtId="183" fontId="6" fillId="0" borderId="30" xfId="0" applyNumberFormat="1" applyFont="1" applyFill="1" applyBorder="1" applyAlignment="1" applyProtection="1">
      <alignment/>
      <protection/>
    </xf>
    <xf numFmtId="181" fontId="6" fillId="0" borderId="37" xfId="0" applyNumberFormat="1" applyFont="1" applyFill="1" applyBorder="1" applyAlignment="1" applyProtection="1">
      <alignment horizontal="center"/>
      <protection/>
    </xf>
    <xf numFmtId="181" fontId="6" fillId="0" borderId="38" xfId="0" applyNumberFormat="1" applyFont="1" applyFill="1" applyBorder="1" applyAlignment="1">
      <alignment/>
    </xf>
    <xf numFmtId="182" fontId="0" fillId="0" borderId="32" xfId="0" applyNumberFormat="1" applyFont="1" applyBorder="1" applyAlignment="1" applyProtection="1">
      <alignment/>
      <protection/>
    </xf>
    <xf numFmtId="182" fontId="6" fillId="0" borderId="32" xfId="0" applyNumberFormat="1" applyFont="1" applyFill="1" applyBorder="1" applyAlignment="1">
      <alignment/>
    </xf>
    <xf numFmtId="182" fontId="5" fillId="0" borderId="36" xfId="0" applyNumberFormat="1" applyFont="1" applyFill="1" applyBorder="1" applyAlignment="1" applyProtection="1">
      <alignment/>
      <protection/>
    </xf>
    <xf numFmtId="182" fontId="1" fillId="0" borderId="36" xfId="0" applyNumberFormat="1" applyFont="1" applyBorder="1" applyAlignment="1" applyProtection="1">
      <alignment horizontal="center"/>
      <protection/>
    </xf>
    <xf numFmtId="182" fontId="6" fillId="0" borderId="39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5" fillId="0" borderId="37" xfId="0" applyNumberFormat="1" applyFont="1" applyFill="1" applyBorder="1" applyAlignment="1">
      <alignment/>
    </xf>
    <xf numFmtId="182" fontId="1" fillId="0" borderId="30" xfId="0" applyNumberFormat="1" applyFont="1" applyBorder="1" applyAlignment="1">
      <alignment/>
    </xf>
    <xf numFmtId="182" fontId="5" fillId="0" borderId="37" xfId="0" applyNumberFormat="1" applyFont="1" applyFill="1" applyBorder="1" applyAlignment="1" applyProtection="1">
      <alignment/>
      <protection/>
    </xf>
    <xf numFmtId="182" fontId="1" fillId="0" borderId="30" xfId="0" applyNumberFormat="1" applyFont="1" applyBorder="1" applyAlignment="1" applyProtection="1">
      <alignment horizontal="center"/>
      <protection/>
    </xf>
    <xf numFmtId="182" fontId="5" fillId="0" borderId="41" xfId="0" applyNumberFormat="1" applyFont="1" applyFill="1" applyBorder="1" applyAlignment="1" applyProtection="1">
      <alignment/>
      <protection/>
    </xf>
    <xf numFmtId="182" fontId="1" fillId="0" borderId="42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 applyProtection="1">
      <alignment/>
      <protection/>
    </xf>
    <xf numFmtId="182" fontId="0" fillId="0" borderId="30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>
      <alignment/>
    </xf>
    <xf numFmtId="182" fontId="0" fillId="0" borderId="30" xfId="0" applyNumberFormat="1" applyFont="1" applyBorder="1" applyAlignment="1">
      <alignment/>
    </xf>
    <xf numFmtId="182" fontId="6" fillId="0" borderId="30" xfId="0" applyNumberFormat="1" applyFont="1" applyFill="1" applyBorder="1" applyAlignment="1">
      <alignment/>
    </xf>
    <xf numFmtId="182" fontId="6" fillId="0" borderId="38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0" fillId="0" borderId="43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82" fontId="1" fillId="0" borderId="36" xfId="0" applyNumberFormat="1" applyFont="1" applyBorder="1" applyAlignment="1" applyProtection="1">
      <alignment horizontal="centerContinuous"/>
      <protection/>
    </xf>
    <xf numFmtId="183" fontId="0" fillId="0" borderId="30" xfId="0" applyNumberFormat="1" applyFont="1" applyBorder="1" applyAlignment="1" applyProtection="1">
      <alignment/>
      <protection/>
    </xf>
    <xf numFmtId="182" fontId="1" fillId="0" borderId="36" xfId="0" applyNumberFormat="1" applyFont="1" applyBorder="1" applyAlignment="1">
      <alignment horizontal="centerContinuous"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Fill="1" applyBorder="1" applyAlignment="1">
      <alignment/>
    </xf>
    <xf numFmtId="10" fontId="0" fillId="0" borderId="0" xfId="21" applyNumberFormat="1" applyFont="1" applyBorder="1" applyAlignment="1" applyProtection="1">
      <alignment/>
      <protection/>
    </xf>
    <xf numFmtId="10" fontId="6" fillId="0" borderId="0" xfId="21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6" fillId="0" borderId="37" xfId="0" applyFont="1" applyFill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center"/>
      <protection/>
    </xf>
    <xf numFmtId="183" fontId="0" fillId="0" borderId="30" xfId="0" applyNumberFormat="1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3" xfId="0" applyNumberFormat="1" applyFont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Continuous"/>
      <protection/>
    </xf>
    <xf numFmtId="3" fontId="5" fillId="0" borderId="36" xfId="0" applyNumberFormat="1" applyFont="1" applyFill="1" applyBorder="1" applyAlignment="1">
      <alignment horizontal="centerContinuous"/>
    </xf>
    <xf numFmtId="3" fontId="1" fillId="0" borderId="30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"/>
      <protection/>
    </xf>
    <xf numFmtId="3" fontId="1" fillId="0" borderId="36" xfId="0" applyNumberFormat="1" applyFont="1" applyBorder="1" applyAlignment="1" applyProtection="1">
      <alignment horizontal="right"/>
      <protection/>
    </xf>
    <xf numFmtId="3" fontId="1" fillId="0" borderId="36" xfId="0" applyNumberFormat="1" applyFont="1" applyBorder="1" applyAlignment="1">
      <alignment/>
    </xf>
    <xf numFmtId="3" fontId="1" fillId="0" borderId="42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/>
      <protection/>
    </xf>
    <xf numFmtId="182" fontId="0" fillId="0" borderId="36" xfId="0" applyNumberFormat="1" applyFont="1" applyBorder="1" applyAlignment="1" applyProtection="1">
      <alignment/>
      <protection/>
    </xf>
    <xf numFmtId="10" fontId="0" fillId="0" borderId="36" xfId="0" applyNumberFormat="1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82" fontId="6" fillId="0" borderId="41" xfId="0" applyNumberFormat="1" applyFont="1" applyFill="1" applyBorder="1" applyAlignment="1" applyProtection="1">
      <alignment/>
      <protection/>
    </xf>
    <xf numFmtId="182" fontId="6" fillId="0" borderId="36" xfId="0" applyNumberFormat="1" applyFont="1" applyFill="1" applyBorder="1" applyAlignment="1" applyProtection="1">
      <alignment/>
      <protection/>
    </xf>
    <xf numFmtId="182" fontId="0" fillId="0" borderId="36" xfId="0" applyNumberFormat="1" applyFont="1" applyBorder="1" applyAlignment="1">
      <alignment/>
    </xf>
    <xf numFmtId="4" fontId="0" fillId="0" borderId="36" xfId="0" applyNumberFormat="1" applyFont="1" applyBorder="1" applyAlignment="1" applyProtection="1">
      <alignment/>
      <protection/>
    </xf>
    <xf numFmtId="182" fontId="0" fillId="0" borderId="42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182" fontId="5" fillId="0" borderId="36" xfId="0" applyNumberFormat="1" applyFont="1" applyFill="1" applyBorder="1" applyAlignment="1" applyProtection="1">
      <alignment horizontal="center"/>
      <protection/>
    </xf>
    <xf numFmtId="182" fontId="5" fillId="0" borderId="36" xfId="0" applyNumberFormat="1" applyFont="1" applyFill="1" applyBorder="1" applyAlignment="1">
      <alignment horizontal="center"/>
    </xf>
    <xf numFmtId="182" fontId="1" fillId="0" borderId="36" xfId="0" applyNumberFormat="1" applyFont="1" applyBorder="1" applyAlignment="1">
      <alignment horizontal="right"/>
    </xf>
    <xf numFmtId="182" fontId="5" fillId="0" borderId="36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 applyProtection="1">
      <alignment/>
      <protection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82" fontId="0" fillId="0" borderId="39" xfId="0" applyNumberFormat="1" applyFont="1" applyBorder="1" applyAlignment="1">
      <alignment/>
    </xf>
    <xf numFmtId="182" fontId="0" fillId="0" borderId="37" xfId="0" applyNumberFormat="1" applyFont="1" applyBorder="1" applyAlignment="1">
      <alignment/>
    </xf>
    <xf numFmtId="182" fontId="0" fillId="0" borderId="38" xfId="0" applyNumberFormat="1" applyFont="1" applyBorder="1" applyAlignment="1">
      <alignment/>
    </xf>
    <xf numFmtId="182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>
      <alignment/>
    </xf>
    <xf numFmtId="182" fontId="1" fillId="0" borderId="36" xfId="0" applyNumberFormat="1" applyFont="1" applyBorder="1" applyAlignment="1">
      <alignment/>
    </xf>
    <xf numFmtId="182" fontId="0" fillId="0" borderId="4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3" fontId="5" fillId="0" borderId="36" xfId="0" applyNumberFormat="1" applyFont="1" applyFill="1" applyBorder="1" applyAlignment="1" applyProtection="1">
      <alignment horizontal="centerContinuous"/>
      <protection/>
    </xf>
    <xf numFmtId="3" fontId="5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 applyProtection="1">
      <alignment horizontal="center"/>
      <protection/>
    </xf>
    <xf numFmtId="3" fontId="5" fillId="0" borderId="45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Continuous"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 horizontal="center"/>
      <protection/>
    </xf>
    <xf numFmtId="3" fontId="5" fillId="0" borderId="4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41" xfId="0" applyNumberFormat="1" applyFont="1" applyFill="1" applyBorder="1" applyAlignment="1" applyProtection="1">
      <alignment horizontal="center"/>
      <protection/>
    </xf>
    <xf numFmtId="3" fontId="6" fillId="0" borderId="35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36" xfId="0" applyNumberFormat="1" applyFont="1" applyFill="1" applyBorder="1" applyAlignment="1" applyProtection="1">
      <alignment/>
      <protection/>
    </xf>
    <xf numFmtId="3" fontId="5" fillId="0" borderId="48" xfId="0" applyNumberFormat="1" applyFont="1" applyFill="1" applyBorder="1" applyAlignment="1">
      <alignment horizontal="centerContinuous"/>
    </xf>
    <xf numFmtId="3" fontId="6" fillId="0" borderId="48" xfId="0" applyNumberFormat="1" applyFont="1" applyFill="1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0" fillId="0" borderId="32" xfId="0" applyNumberFormat="1" applyFont="1" applyBorder="1" applyAlignment="1">
      <alignment horizontal="right"/>
    </xf>
    <xf numFmtId="1" fontId="6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 applyProtection="1">
      <alignment horizontal="centerContinuous"/>
      <protection/>
    </xf>
    <xf numFmtId="3" fontId="6" fillId="0" borderId="48" xfId="0" applyNumberFormat="1" applyFont="1" applyFill="1" applyBorder="1" applyAlignment="1">
      <alignment horizontal="centerContinuous"/>
    </xf>
    <xf numFmtId="0" fontId="0" fillId="0" borderId="48" xfId="0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1" fontId="5" fillId="0" borderId="37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 applyProtection="1">
      <alignment horizontal="center"/>
      <protection/>
    </xf>
    <xf numFmtId="1" fontId="5" fillId="0" borderId="41" xfId="0" applyNumberFormat="1" applyFont="1" applyFill="1" applyBorder="1" applyAlignment="1" applyProtection="1">
      <alignment horizontal="center"/>
      <protection/>
    </xf>
    <xf numFmtId="3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Fill="1" applyBorder="1" applyAlignment="1">
      <alignment horizontal="center"/>
    </xf>
    <xf numFmtId="182" fontId="5" fillId="0" borderId="36" xfId="0" applyNumberFormat="1" applyFont="1" applyFill="1" applyBorder="1" applyAlignment="1" applyProtection="1">
      <alignment horizontal="center"/>
      <protection/>
    </xf>
    <xf numFmtId="1" fontId="5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Continuous"/>
    </xf>
    <xf numFmtId="3" fontId="5" fillId="0" borderId="29" xfId="0" applyNumberFormat="1" applyFont="1" applyFill="1" applyBorder="1" applyAlignment="1">
      <alignment/>
    </xf>
    <xf numFmtId="182" fontId="5" fillId="0" borderId="49" xfId="0" applyNumberFormat="1" applyFont="1" applyFill="1" applyBorder="1" applyAlignment="1" applyProtection="1">
      <alignment horizontal="center"/>
      <protection/>
    </xf>
    <xf numFmtId="182" fontId="5" fillId="0" borderId="30" xfId="0" applyNumberFormat="1" applyFont="1" applyFill="1" applyBorder="1" applyAlignment="1">
      <alignment horizontal="center"/>
    </xf>
    <xf numFmtId="182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/>
      <protection/>
    </xf>
    <xf numFmtId="182" fontId="6" fillId="0" borderId="33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>
      <alignment horizontal="center"/>
    </xf>
    <xf numFmtId="182" fontId="5" fillId="0" borderId="29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82" fontId="6" fillId="0" borderId="32" xfId="0" applyNumberFormat="1" applyFont="1" applyFill="1" applyBorder="1" applyAlignment="1" applyProtection="1">
      <alignment horizontal="right"/>
      <protection/>
    </xf>
    <xf numFmtId="1" fontId="5" fillId="0" borderId="39" xfId="0" applyNumberFormat="1" applyFont="1" applyFill="1" applyBorder="1" applyAlignment="1" applyProtection="1">
      <alignment horizontal="center"/>
      <protection/>
    </xf>
    <xf numFmtId="182" fontId="5" fillId="0" borderId="4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 horizontal="right"/>
    </xf>
    <xf numFmtId="181" fontId="5" fillId="0" borderId="36" xfId="0" applyNumberFormat="1" applyFont="1" applyFill="1" applyBorder="1" applyAlignment="1" applyProtection="1">
      <alignment horizontal="center"/>
      <protection/>
    </xf>
    <xf numFmtId="181" fontId="10" fillId="0" borderId="0" xfId="0" applyNumberFormat="1" applyFont="1" applyBorder="1" applyAlignment="1">
      <alignment horizontal="right"/>
    </xf>
    <xf numFmtId="181" fontId="13" fillId="0" borderId="0" xfId="0" applyNumberFormat="1" applyFont="1" applyFill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181" fontId="5" fillId="0" borderId="39" xfId="0" applyNumberFormat="1" applyFont="1" applyFill="1" applyBorder="1" applyAlignment="1">
      <alignment/>
    </xf>
    <xf numFmtId="181" fontId="5" fillId="0" borderId="48" xfId="0" applyNumberFormat="1" applyFont="1" applyFill="1" applyBorder="1" applyAlignment="1" applyProtection="1">
      <alignment/>
      <protection/>
    </xf>
    <xf numFmtId="181" fontId="5" fillId="0" borderId="48" xfId="0" applyNumberFormat="1" applyFont="1" applyFill="1" applyBorder="1" applyAlignment="1" applyProtection="1">
      <alignment horizontal="center"/>
      <protection/>
    </xf>
    <xf numFmtId="183" fontId="5" fillId="0" borderId="49" xfId="0" applyNumberFormat="1" applyFont="1" applyFill="1" applyBorder="1" applyAlignment="1">
      <alignment/>
    </xf>
    <xf numFmtId="181" fontId="5" fillId="0" borderId="41" xfId="0" applyNumberFormat="1" applyFont="1" applyFill="1" applyBorder="1" applyAlignment="1" applyProtection="1">
      <alignment horizontal="center"/>
      <protection/>
    </xf>
    <xf numFmtId="183" fontId="5" fillId="0" borderId="42" xfId="0" applyNumberFormat="1" applyFont="1" applyFill="1" applyBorder="1" applyAlignment="1" applyProtection="1">
      <alignment horizontal="center"/>
      <protection/>
    </xf>
    <xf numFmtId="181" fontId="6" fillId="0" borderId="37" xfId="0" applyNumberFormat="1" applyFont="1" applyFill="1" applyBorder="1" applyAlignment="1">
      <alignment/>
    </xf>
    <xf numFmtId="183" fontId="6" fillId="0" borderId="30" xfId="0" applyNumberFormat="1" applyFont="1" applyFill="1" applyBorder="1" applyAlignment="1">
      <alignment/>
    </xf>
    <xf numFmtId="181" fontId="13" fillId="0" borderId="37" xfId="0" applyNumberFormat="1" applyFont="1" applyFill="1" applyBorder="1" applyAlignment="1" applyProtection="1">
      <alignment horizontal="left"/>
      <protection/>
    </xf>
    <xf numFmtId="181" fontId="0" fillId="0" borderId="43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50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181" fontId="0" fillId="0" borderId="32" xfId="0" applyNumberFormat="1" applyFont="1" applyBorder="1" applyAlignment="1" applyProtection="1">
      <alignment/>
      <protection/>
    </xf>
    <xf numFmtId="183" fontId="0" fillId="0" borderId="33" xfId="0" applyNumberFormat="1" applyFont="1" applyBorder="1" applyAlignment="1" applyProtection="1">
      <alignment/>
      <protection/>
    </xf>
    <xf numFmtId="181" fontId="6" fillId="0" borderId="50" xfId="0" applyNumberFormat="1" applyFont="1" applyFill="1" applyBorder="1" applyAlignment="1" applyProtection="1">
      <alignment wrapText="1"/>
      <protection/>
    </xf>
    <xf numFmtId="181" fontId="6" fillId="0" borderId="32" xfId="0" applyNumberFormat="1" applyFont="1" applyFill="1" applyBorder="1" applyAlignment="1" applyProtection="1">
      <alignment wrapText="1"/>
      <protection/>
    </xf>
    <xf numFmtId="181" fontId="6" fillId="0" borderId="32" xfId="0" applyNumberFormat="1" applyFont="1" applyFill="1" applyBorder="1" applyAlignment="1" applyProtection="1">
      <alignment/>
      <protection/>
    </xf>
    <xf numFmtId="183" fontId="6" fillId="0" borderId="33" xfId="0" applyNumberFormat="1" applyFont="1" applyFill="1" applyBorder="1" applyAlignment="1" applyProtection="1">
      <alignment/>
      <protection/>
    </xf>
    <xf numFmtId="181" fontId="14" fillId="0" borderId="37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/>
      <protection/>
    </xf>
    <xf numFmtId="183" fontId="6" fillId="0" borderId="42" xfId="0" applyNumberFormat="1" applyFont="1" applyFill="1" applyBorder="1" applyAlignment="1" applyProtection="1">
      <alignment/>
      <protection/>
    </xf>
    <xf numFmtId="182" fontId="12" fillId="0" borderId="0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182" fontId="15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Border="1" applyAlignment="1">
      <alignment horizontal="right"/>
    </xf>
    <xf numFmtId="3" fontId="5" fillId="0" borderId="51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horizontal="centerContinuous"/>
    </xf>
    <xf numFmtId="3" fontId="5" fillId="0" borderId="52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>
      <alignment horizontal="centerContinuous"/>
    </xf>
    <xf numFmtId="3" fontId="5" fillId="0" borderId="55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Continuous"/>
    </xf>
    <xf numFmtId="3" fontId="5" fillId="0" borderId="56" xfId="0" applyNumberFormat="1" applyFont="1" applyFill="1" applyBorder="1" applyAlignment="1" applyProtection="1">
      <alignment horizontal="center"/>
      <protection/>
    </xf>
    <xf numFmtId="3" fontId="5" fillId="0" borderId="57" xfId="0" applyNumberFormat="1" applyFont="1" applyFill="1" applyBorder="1" applyAlignment="1" applyProtection="1">
      <alignment horizontal="center"/>
      <protection/>
    </xf>
    <xf numFmtId="3" fontId="6" fillId="0" borderId="58" xfId="0" applyNumberFormat="1" applyFont="1" applyFill="1" applyBorder="1" applyAlignment="1" applyProtection="1">
      <alignment/>
      <protection/>
    </xf>
    <xf numFmtId="3" fontId="6" fillId="0" borderId="5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Continuous"/>
    </xf>
    <xf numFmtId="182" fontId="6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1" fontId="6" fillId="0" borderId="61" xfId="0" applyNumberFormat="1" applyFont="1" applyFill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/>
      <protection/>
    </xf>
    <xf numFmtId="1" fontId="6" fillId="0" borderId="5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1" fontId="6" fillId="0" borderId="61" xfId="0" applyNumberFormat="1" applyFont="1" applyFill="1" applyBorder="1" applyAlignment="1">
      <alignment horizontal="center"/>
    </xf>
    <xf numFmtId="182" fontId="6" fillId="0" borderId="60" xfId="0" applyNumberFormat="1" applyFont="1" applyFill="1" applyBorder="1" applyAlignment="1">
      <alignment/>
    </xf>
    <xf numFmtId="182" fontId="6" fillId="0" borderId="62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>
      <alignment horizontal="right"/>
    </xf>
    <xf numFmtId="1" fontId="6" fillId="0" borderId="6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center"/>
    </xf>
    <xf numFmtId="182" fontId="0" fillId="0" borderId="37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>
      <alignment horizontal="right"/>
    </xf>
    <xf numFmtId="0" fontId="0" fillId="0" borderId="37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82" fontId="0" fillId="0" borderId="32" xfId="0" applyNumberFormat="1" applyFont="1" applyFill="1" applyBorder="1" applyAlignment="1" applyProtection="1">
      <alignment/>
      <protection/>
    </xf>
    <xf numFmtId="182" fontId="0" fillId="0" borderId="32" xfId="0" applyNumberFormat="1" applyFont="1" applyFill="1" applyBorder="1" applyAlignment="1" applyProtection="1">
      <alignment wrapText="1"/>
      <protection/>
    </xf>
    <xf numFmtId="182" fontId="0" fillId="0" borderId="32" xfId="0" applyNumberFormat="1" applyFont="1" applyFill="1" applyBorder="1" applyAlignment="1" applyProtection="1">
      <alignment/>
      <protection/>
    </xf>
    <xf numFmtId="1" fontId="6" fillId="0" borderId="61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>
      <alignment horizontal="right"/>
    </xf>
    <xf numFmtId="182" fontId="6" fillId="0" borderId="62" xfId="0" applyNumberFormat="1" applyFont="1" applyFill="1" applyBorder="1" applyAlignment="1">
      <alignment/>
    </xf>
    <xf numFmtId="182" fontId="6" fillId="0" borderId="64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34" fillId="0" borderId="61" xfId="0" applyNumberFormat="1" applyFont="1" applyFill="1" applyBorder="1" applyAlignment="1">
      <alignment horizontal="justify" vertical="center"/>
    </xf>
    <xf numFmtId="3" fontId="34" fillId="0" borderId="65" xfId="0" applyNumberFormat="1" applyFont="1" applyFill="1" applyBorder="1" applyAlignment="1">
      <alignment horizontal="right" vertical="center"/>
    </xf>
    <xf numFmtId="3" fontId="34" fillId="0" borderId="65" xfId="0" applyNumberFormat="1" applyFont="1" applyFill="1" applyBorder="1" applyAlignment="1" applyProtection="1">
      <alignment horizontal="right" vertical="center"/>
      <protection/>
    </xf>
    <xf numFmtId="3" fontId="34" fillId="0" borderId="62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Border="1" applyAlignment="1">
      <alignment horizontal="justify" vertical="center"/>
    </xf>
    <xf numFmtId="3" fontId="27" fillId="0" borderId="38" xfId="0" applyNumberFormat="1" applyFont="1" applyBorder="1" applyAlignment="1">
      <alignment horizontal="justify" vertical="center"/>
    </xf>
    <xf numFmtId="3" fontId="27" fillId="0" borderId="66" xfId="0" applyNumberFormat="1" applyFont="1" applyBorder="1" applyAlignment="1">
      <alignment horizontal="right" vertical="center"/>
    </xf>
    <xf numFmtId="3" fontId="27" fillId="0" borderId="67" xfId="0" applyNumberFormat="1" applyFont="1" applyBorder="1" applyAlignment="1">
      <alignment horizontal="right" vertical="center"/>
    </xf>
    <xf numFmtId="3" fontId="27" fillId="0" borderId="68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 vertical="center"/>
      <protection/>
    </xf>
    <xf numFmtId="3" fontId="27" fillId="0" borderId="39" xfId="0" applyNumberFormat="1" applyFont="1" applyBorder="1" applyAlignment="1">
      <alignment horizontal="justify"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justify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justify" vertical="center"/>
    </xf>
    <xf numFmtId="3" fontId="27" fillId="0" borderId="71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3" fontId="34" fillId="0" borderId="61" xfId="0" applyNumberFormat="1" applyFont="1" applyFill="1" applyBorder="1" applyAlignment="1" applyProtection="1">
      <alignment horizontal="justify" vertical="center"/>
      <protection/>
    </xf>
    <xf numFmtId="3" fontId="34" fillId="0" borderId="72" xfId="0" applyNumberFormat="1" applyFont="1" applyFill="1" applyBorder="1" applyAlignment="1" applyProtection="1">
      <alignment horizontal="right" vertical="center"/>
      <protection/>
    </xf>
    <xf numFmtId="3" fontId="34" fillId="0" borderId="73" xfId="0" applyNumberFormat="1" applyFont="1" applyFill="1" applyBorder="1" applyAlignment="1" applyProtection="1">
      <alignment horizontal="center" vertical="center"/>
      <protection/>
    </xf>
    <xf numFmtId="3" fontId="34" fillId="0" borderId="74" xfId="0" applyNumberFormat="1" applyFont="1" applyFill="1" applyBorder="1" applyAlignment="1" applyProtection="1">
      <alignment horizontal="right" vertical="center"/>
      <protection/>
    </xf>
    <xf numFmtId="3" fontId="34" fillId="0" borderId="75" xfId="0" applyNumberFormat="1" applyFont="1" applyFill="1" applyBorder="1" applyAlignment="1" applyProtection="1">
      <alignment horizontal="right" vertical="center"/>
      <protection/>
    </xf>
    <xf numFmtId="3" fontId="34" fillId="0" borderId="76" xfId="0" applyNumberFormat="1" applyFont="1" applyFill="1" applyBorder="1" applyAlignment="1" applyProtection="1">
      <alignment horizontal="right" vertical="center"/>
      <protection/>
    </xf>
    <xf numFmtId="3" fontId="34" fillId="0" borderId="0" xfId="0" applyNumberFormat="1" applyFont="1" applyFill="1" applyBorder="1" applyAlignment="1" applyProtection="1">
      <alignment horizontal="justify" vertical="center"/>
      <protection/>
    </xf>
    <xf numFmtId="3" fontId="34" fillId="0" borderId="0" xfId="0" applyNumberFormat="1" applyFont="1" applyFill="1" applyBorder="1" applyAlignment="1">
      <alignment horizontal="justify" vertical="center"/>
    </xf>
    <xf numFmtId="3" fontId="34" fillId="0" borderId="39" xfId="0" applyNumberFormat="1" applyFont="1" applyFill="1" applyBorder="1" applyAlignment="1">
      <alignment horizontal="justify" vertical="center"/>
    </xf>
    <xf numFmtId="3" fontId="27" fillId="0" borderId="37" xfId="0" applyNumberFormat="1" applyFont="1" applyBorder="1" applyAlignment="1">
      <alignment horizontal="justify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justify" vertical="center"/>
    </xf>
    <xf numFmtId="3" fontId="7" fillId="0" borderId="2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justify" vertical="center"/>
    </xf>
    <xf numFmtId="3" fontId="27" fillId="0" borderId="65" xfId="0" applyNumberFormat="1" applyFont="1" applyBorder="1" applyAlignment="1">
      <alignment horizontal="right" vertical="center"/>
    </xf>
    <xf numFmtId="3" fontId="27" fillId="0" borderId="78" xfId="0" applyNumberFormat="1" applyFont="1" applyBorder="1" applyAlignment="1">
      <alignment horizontal="right" vertical="center"/>
    </xf>
    <xf numFmtId="3" fontId="27" fillId="0" borderId="79" xfId="0" applyNumberFormat="1" applyFont="1" applyBorder="1" applyAlignment="1">
      <alignment horizontal="right" vertical="center"/>
    </xf>
    <xf numFmtId="3" fontId="27" fillId="0" borderId="34" xfId="0" applyNumberFormat="1" applyFont="1" applyBorder="1" applyAlignment="1">
      <alignment horizontal="right"/>
    </xf>
    <xf numFmtId="3" fontId="27" fillId="0" borderId="44" xfId="0" applyNumberFormat="1" applyFont="1" applyBorder="1" applyAlignment="1">
      <alignment horizontal="right"/>
    </xf>
    <xf numFmtId="3" fontId="34" fillId="0" borderId="65" xfId="0" applyNumberFormat="1" applyFont="1" applyFill="1" applyBorder="1" applyAlignment="1" applyProtection="1">
      <alignment horizontal="right"/>
      <protection/>
    </xf>
    <xf numFmtId="3" fontId="34" fillId="0" borderId="80" xfId="0" applyNumberFormat="1" applyFont="1" applyFill="1" applyBorder="1" applyAlignment="1" applyProtection="1">
      <alignment horizontal="right"/>
      <protection/>
    </xf>
    <xf numFmtId="3" fontId="34" fillId="0" borderId="65" xfId="0" applyNumberFormat="1" applyFont="1" applyFill="1" applyBorder="1" applyAlignment="1">
      <alignment horizontal="right"/>
    </xf>
    <xf numFmtId="3" fontId="34" fillId="0" borderId="80" xfId="0" applyNumberFormat="1" applyFont="1" applyFill="1" applyBorder="1" applyAlignment="1">
      <alignment horizontal="right"/>
    </xf>
    <xf numFmtId="3" fontId="27" fillId="0" borderId="37" xfId="0" applyNumberFormat="1" applyFont="1" applyBorder="1" applyAlignment="1">
      <alignment horizontal="center"/>
    </xf>
    <xf numFmtId="3" fontId="27" fillId="0" borderId="81" xfId="0" applyNumberFormat="1" applyFont="1" applyBorder="1" applyAlignment="1">
      <alignment horizontal="right"/>
    </xf>
    <xf numFmtId="3" fontId="27" fillId="0" borderId="82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5" fillId="0" borderId="71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6" fillId="0" borderId="30" xfId="0" applyNumberFormat="1" applyFont="1" applyFill="1" applyBorder="1" applyAlignment="1" applyProtection="1">
      <alignment/>
      <protection/>
    </xf>
    <xf numFmtId="1" fontId="6" fillId="0" borderId="37" xfId="0" applyNumberFormat="1" applyFont="1" applyFill="1" applyBorder="1" applyAlignment="1">
      <alignment horizontal="center"/>
    </xf>
    <xf numFmtId="1" fontId="6" fillId="0" borderId="63" xfId="0" applyNumberFormat="1" applyFont="1" applyFill="1" applyBorder="1" applyAlignment="1">
      <alignment horizontal="center"/>
    </xf>
    <xf numFmtId="3" fontId="6" fillId="0" borderId="83" xfId="0" applyNumberFormat="1" applyFont="1" applyFill="1" applyBorder="1" applyAlignment="1">
      <alignment/>
    </xf>
    <xf numFmtId="3" fontId="6" fillId="0" borderId="83" xfId="0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 applyProtection="1">
      <alignment/>
      <protection/>
    </xf>
    <xf numFmtId="1" fontId="6" fillId="0" borderId="84" xfId="0" applyNumberFormat="1" applyFont="1" applyFill="1" applyBorder="1" applyAlignment="1" applyProtection="1">
      <alignment/>
      <protection/>
    </xf>
    <xf numFmtId="3" fontId="6" fillId="0" borderId="83" xfId="0" applyNumberFormat="1" applyFont="1" applyFill="1" applyBorder="1" applyAlignment="1" applyProtection="1">
      <alignment/>
      <protection/>
    </xf>
    <xf numFmtId="1" fontId="6" fillId="0" borderId="84" xfId="0" applyNumberFormat="1" applyFont="1" applyFill="1" applyBorder="1" applyAlignment="1">
      <alignment/>
    </xf>
    <xf numFmtId="3" fontId="6" fillId="0" borderId="85" xfId="0" applyNumberFormat="1" applyFont="1" applyFill="1" applyBorder="1" applyAlignment="1" applyProtection="1">
      <alignment/>
      <protection/>
    </xf>
    <xf numFmtId="182" fontId="6" fillId="0" borderId="86" xfId="0" applyNumberFormat="1" applyFont="1" applyFill="1" applyBorder="1" applyAlignment="1">
      <alignment/>
    </xf>
    <xf numFmtId="181" fontId="5" fillId="3" borderId="37" xfId="0" applyNumberFormat="1" applyFont="1" applyFill="1" applyBorder="1" applyAlignment="1" applyProtection="1">
      <alignment horizontal="center"/>
      <protection/>
    </xf>
    <xf numFmtId="181" fontId="5" fillId="3" borderId="0" xfId="0" applyNumberFormat="1" applyFont="1" applyFill="1" applyBorder="1" applyAlignment="1" applyProtection="1">
      <alignment horizontal="center"/>
      <protection/>
    </xf>
    <xf numFmtId="181" fontId="1" fillId="3" borderId="0" xfId="0" applyNumberFormat="1" applyFont="1" applyFill="1" applyBorder="1" applyAlignment="1" applyProtection="1">
      <alignment/>
      <protection/>
    </xf>
    <xf numFmtId="183" fontId="1" fillId="0" borderId="30" xfId="0" applyNumberFormat="1" applyFont="1" applyFill="1" applyBorder="1" applyAlignment="1" applyProtection="1">
      <alignment/>
      <protection/>
    </xf>
    <xf numFmtId="182" fontId="6" fillId="0" borderId="30" xfId="0" applyNumberFormat="1" applyFont="1" applyFill="1" applyBorder="1" applyAlignment="1" applyProtection="1">
      <alignment/>
      <protection/>
    </xf>
    <xf numFmtId="182" fontId="6" fillId="0" borderId="83" xfId="0" applyNumberFormat="1" applyFont="1" applyFill="1" applyBorder="1" applyAlignment="1">
      <alignment/>
    </xf>
    <xf numFmtId="182" fontId="6" fillId="0" borderId="64" xfId="0" applyNumberFormat="1" applyFont="1" applyFill="1" applyBorder="1" applyAlignment="1" applyProtection="1">
      <alignment/>
      <protection/>
    </xf>
    <xf numFmtId="182" fontId="33" fillId="0" borderId="0" xfId="0" applyNumberFormat="1" applyFont="1" applyBorder="1" applyAlignment="1">
      <alignment horizontal="center"/>
    </xf>
    <xf numFmtId="3" fontId="15" fillId="0" borderId="87" xfId="0" applyNumberFormat="1" applyFont="1" applyFill="1" applyBorder="1" applyAlignment="1">
      <alignment horizontal="center" vertical="center"/>
    </xf>
    <xf numFmtId="3" fontId="15" fillId="0" borderId="48" xfId="0" applyNumberFormat="1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EN PORCENTAJE DE LA PRODUCCIÓN DE PETRÓLEO 2005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'31PP'!$L$10:$L$13</c:f>
              <c:strCache>
                <c:ptCount val="4"/>
                <c:pt idx="0">
                  <c:v>LORA</c:v>
                </c:pt>
                <c:pt idx="1">
                  <c:v>UNITIZACIÓN CASABLANCA-MONTANAZO D</c:v>
                </c:pt>
                <c:pt idx="2">
                  <c:v>RODABALLO</c:v>
                </c:pt>
                <c:pt idx="3">
                  <c:v>UNITIZACIÓN ANGULA-CASABLANCA</c:v>
                </c:pt>
              </c:strCache>
            </c:strRef>
          </c:cat>
          <c:val>
            <c:numRef>
              <c:f>'31PP'!$M$10:$M$13</c:f>
              <c:numCache>
                <c:ptCount val="4"/>
                <c:pt idx="0">
                  <c:v>0.034328430132398474</c:v>
                </c:pt>
                <c:pt idx="1">
                  <c:v>0.6035876492344019</c:v>
                </c:pt>
                <c:pt idx="2">
                  <c:v>0.2046212969990483</c:v>
                </c:pt>
                <c:pt idx="3">
                  <c:v>0.15746262363415134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COMPARACIÓN ANUAL DE LAS PRODUCCIONES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25"/>
          <c:w val="0.6722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CRUDO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2004</c:v>
                </c:pt>
                <c:pt idx="1">
                  <c:v>2005</c:v>
                </c:pt>
              </c:numCache>
            </c:numRef>
          </c:cat>
          <c:val>
            <c:numRef>
              <c:f>'312CP'!$D$15:$E$15</c:f>
              <c:numCache>
                <c:ptCount val="2"/>
                <c:pt idx="0">
                  <c:v>254548</c:v>
                </c:pt>
                <c:pt idx="1">
                  <c:v>166014</c:v>
                </c:pt>
              </c:numCache>
            </c:numRef>
          </c:val>
        </c:ser>
        <c:ser>
          <c:idx val="1"/>
          <c:order val="1"/>
          <c:tx>
            <c:v>GAS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2004</c:v>
                </c:pt>
                <c:pt idx="1">
                  <c:v>2005</c:v>
                </c:pt>
              </c:numCache>
            </c:numRef>
          </c:cat>
          <c:val>
            <c:numRef>
              <c:f>'312CP'!$D$25:$E$25</c:f>
              <c:numCache>
                <c:ptCount val="2"/>
                <c:pt idx="0">
                  <c:v>310133.89999999997</c:v>
                </c:pt>
                <c:pt idx="1">
                  <c:v>145446.1</c:v>
                </c:pt>
              </c:numCache>
            </c:numRef>
          </c:val>
        </c:ser>
        <c:overlap val="100"/>
        <c:gapWidth val="90"/>
        <c:axId val="27695313"/>
        <c:axId val="47931226"/>
      </c:barChart>
      <c:catAx>
        <c:axId val="2769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931226"/>
        <c:crosses val="autoZero"/>
        <c:auto val="1"/>
        <c:lblOffset val="100"/>
        <c:noMultiLvlLbl val="0"/>
      </c:catAx>
      <c:valAx>
        <c:axId val="4793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Tm y/o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69531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775"/>
          <c:y val="0.45975"/>
          <c:w val="0.20075"/>
          <c:h val="0.1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CRUDO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20575"/>
          <c:w val="0.87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'32PMC'!$K$7</c:f>
              <c:strCache>
                <c:ptCount val="1"/>
                <c:pt idx="0">
                  <c:v>Bbl.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'32PMC'!$A$9:$A$20</c:f>
              <c:strCache>
                <c:ptCount val="12"/>
                <c:pt idx="0">
                  <c:v>ENERO/JANUARY</c:v>
                </c:pt>
                <c:pt idx="1">
                  <c:v>FEBRERO/FEBRUARY</c:v>
                </c:pt>
                <c:pt idx="2">
                  <c:v>MARZO/MARCH</c:v>
                </c:pt>
                <c:pt idx="3">
                  <c:v>ABRIL/APRIL</c:v>
                </c:pt>
                <c:pt idx="4">
                  <c:v>MAYO/MAY</c:v>
                </c:pt>
                <c:pt idx="5">
                  <c:v>JUNIO/JUNE</c:v>
                </c:pt>
                <c:pt idx="6">
                  <c:v>JULIO/JULY</c:v>
                </c:pt>
                <c:pt idx="7">
                  <c:v>AGOSTO/AUGUST</c:v>
                </c:pt>
                <c:pt idx="8">
                  <c:v>SEPTIEMBRE/SEPTEMBER</c:v>
                </c:pt>
                <c:pt idx="9">
                  <c:v>OCTUBRE/OCTOBER</c:v>
                </c:pt>
                <c:pt idx="10">
                  <c:v>NOVIEMBRE/NOVEMBER</c:v>
                </c:pt>
                <c:pt idx="11">
                  <c:v>DICIEMBRE/DECEMBER</c:v>
                </c:pt>
              </c:strCache>
            </c:strRef>
          </c:cat>
          <c:val>
            <c:numRef>
              <c:f>'32PMC'!$K$9:$K$20</c:f>
              <c:numCache>
                <c:ptCount val="12"/>
                <c:pt idx="0">
                  <c:v>105872</c:v>
                </c:pt>
                <c:pt idx="1">
                  <c:v>68046</c:v>
                </c:pt>
                <c:pt idx="2">
                  <c:v>103847</c:v>
                </c:pt>
                <c:pt idx="3">
                  <c:v>86906</c:v>
                </c:pt>
                <c:pt idx="4">
                  <c:v>109120</c:v>
                </c:pt>
                <c:pt idx="5">
                  <c:v>105761</c:v>
                </c:pt>
                <c:pt idx="6">
                  <c:v>130222</c:v>
                </c:pt>
                <c:pt idx="7">
                  <c:v>88682</c:v>
                </c:pt>
                <c:pt idx="8">
                  <c:v>102402</c:v>
                </c:pt>
                <c:pt idx="9">
                  <c:v>115393</c:v>
                </c:pt>
                <c:pt idx="10">
                  <c:v>112539</c:v>
                </c:pt>
                <c:pt idx="11">
                  <c:v>105347</c:v>
                </c:pt>
              </c:numCache>
            </c:numRef>
          </c:val>
          <c:smooth val="0"/>
        </c:ser>
        <c:marker val="1"/>
        <c:axId val="2118273"/>
        <c:axId val="19064458"/>
      </c:lineChart>
      <c:dateAx>
        <c:axId val="2118273"/>
        <c:scaling>
          <c:orientation val="minMax"/>
          <c:max val="38687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9064458"/>
        <c:crossesAt val="0"/>
        <c:auto val="0"/>
        <c:baseTimeUnit val="months"/>
        <c:minorUnit val="1"/>
        <c:minorTimeUnit val="months"/>
        <c:noMultiLvlLbl val="0"/>
      </c:dateAx>
      <c:valAx>
        <c:axId val="19064458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Barriles (Bbl.)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118273"/>
        <c:crossesAt val="1236"/>
        <c:crossBetween val="midCat"/>
        <c:dispUnits/>
        <c:majorUnit val="50000"/>
        <c:minorUnit val="50000"/>
      </c:valAx>
      <c:spPr>
        <a:solidFill>
          <a:srgbClr val="FFFFC0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'35PMG'!$B$7:$B$18</c:f>
              <c:strCache>
                <c:ptCount val="12"/>
                <c:pt idx="0">
                  <c:v>ENERO/JANUARY</c:v>
                </c:pt>
                <c:pt idx="1">
                  <c:v>FEBRERO/FEBRUARY</c:v>
                </c:pt>
                <c:pt idx="2">
                  <c:v>MARZO/MARCH</c:v>
                </c:pt>
                <c:pt idx="3">
                  <c:v>ABRIL/APRIL</c:v>
                </c:pt>
                <c:pt idx="4">
                  <c:v>MAYO/MAY</c:v>
                </c:pt>
                <c:pt idx="5">
                  <c:v>JUNIO/JUNE</c:v>
                </c:pt>
                <c:pt idx="6">
                  <c:v>JULIO/JULY</c:v>
                </c:pt>
                <c:pt idx="7">
                  <c:v>AGOSTO/AUGUST</c:v>
                </c:pt>
                <c:pt idx="8">
                  <c:v>SEPTIEMBRE/SEPTEMBER</c:v>
                </c:pt>
                <c:pt idx="9">
                  <c:v>OCTUBRE/OCTOBER</c:v>
                </c:pt>
                <c:pt idx="10">
                  <c:v>NOVIEMBRE/NOVEMBER</c:v>
                </c:pt>
                <c:pt idx="11">
                  <c:v>DICIEMBRE/DECEMBER</c:v>
                </c:pt>
              </c:strCache>
            </c:strRef>
          </c:cat>
          <c:val>
            <c:numRef>
              <c:f>'35PMG'!$H$7:$H$18</c:f>
              <c:numCache>
                <c:ptCount val="12"/>
                <c:pt idx="0">
                  <c:v>19638806</c:v>
                </c:pt>
                <c:pt idx="1">
                  <c:v>14268654</c:v>
                </c:pt>
                <c:pt idx="2">
                  <c:v>18799360</c:v>
                </c:pt>
                <c:pt idx="3">
                  <c:v>17026237</c:v>
                </c:pt>
                <c:pt idx="4">
                  <c:v>16167532</c:v>
                </c:pt>
                <c:pt idx="5">
                  <c:v>15447773</c:v>
                </c:pt>
                <c:pt idx="6">
                  <c:v>11526147</c:v>
                </c:pt>
                <c:pt idx="7">
                  <c:v>11814850</c:v>
                </c:pt>
                <c:pt idx="8">
                  <c:v>11462442</c:v>
                </c:pt>
                <c:pt idx="9">
                  <c:v>11588816</c:v>
                </c:pt>
                <c:pt idx="10">
                  <c:v>11842378</c:v>
                </c:pt>
                <c:pt idx="11">
                  <c:v>11530165</c:v>
                </c:pt>
              </c:numCache>
            </c:numRef>
          </c:val>
          <c:smooth val="0"/>
        </c:ser>
        <c:axId val="37362395"/>
        <c:axId val="717236"/>
      </c:lineChart>
      <c:dateAx>
        <c:axId val="37362395"/>
        <c:scaling>
          <c:orientation val="minMax"/>
          <c:max val="38687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172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17236"/>
        <c:scaling>
          <c:orientation val="minMax"/>
          <c:max val="6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Nm</a:t>
                </a:r>
                <a:r>
                  <a:rPr lang="en-US" cap="none" sz="1000" b="1" i="0" u="none" baseline="3000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7362395"/>
        <c:crossesAt val="1236"/>
        <c:crossBetween val="midCat"/>
        <c:dispUnits/>
        <c:majorUnit val="10000000"/>
        <c:minorUnit val="1000000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DESGLOSE PRODUCCIÓN ANUAL (Tm / T.E.P.)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3175"/>
          <c:w val="0.966"/>
          <c:h val="0.45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'36SPPG'!$B$11</c:f>
              <c:strCache>
                <c:ptCount val="1"/>
                <c:pt idx="0">
                  <c:v>LORA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'36SPPG'!$D$11</c:f>
              <c:numCache>
                <c:ptCount val="1"/>
                <c:pt idx="0">
                  <c:v>5699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'36SPPG'!$B$12</c:f>
              <c:strCache>
                <c:ptCount val="1"/>
                <c:pt idx="0">
                  <c:v>UNITIZACIÓN CASABLANCA-MONTANAZO 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'36SPPG'!$D$12</c:f>
              <c:numCache>
                <c:ptCount val="1"/>
                <c:pt idx="0">
                  <c:v>100204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'36SPPG'!$B$13</c:f>
              <c:strCache>
                <c:ptCount val="1"/>
                <c:pt idx="0">
                  <c:v>MARISMAS         (*)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'36SPPG'!$D$13</c:f>
              <c:numCache>
                <c:ptCount val="1"/>
                <c:pt idx="0">
                  <c:v>5416.5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'36SPPG'!$B$14</c:f>
              <c:strCache>
                <c:ptCount val="1"/>
                <c:pt idx="0">
                  <c:v>RODABALLO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'36SPPG'!$D$14</c:f>
              <c:numCache>
                <c:ptCount val="1"/>
                <c:pt idx="0">
                  <c:v>33970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'36SPPG'!$B$15</c:f>
              <c:strCache>
                <c:ptCount val="1"/>
                <c:pt idx="0">
                  <c:v>UNITIZACIÓN ANGULA-CASABLANCA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'36SPPG'!$D$15</c:f>
              <c:numCache>
                <c:ptCount val="1"/>
                <c:pt idx="0">
                  <c:v>26141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'36SPPG'!$B$16</c:f>
              <c:strCache>
                <c:ptCount val="1"/>
                <c:pt idx="0">
                  <c:v>POSEIDÓN         (*)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'36SPPG'!$D$16</c:f>
              <c:numCache>
                <c:ptCount val="1"/>
                <c:pt idx="0">
                  <c:v>119659.1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'36SPPG'!$B$17</c:f>
              <c:strCache>
                <c:ptCount val="1"/>
                <c:pt idx="0">
                  <c:v>EL RUEDO         (*)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'36SPPG'!$D$17</c:f>
              <c:numCache>
                <c:ptCount val="1"/>
                <c:pt idx="0">
                  <c:v>3697.6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'36SPPG'!$B$18</c:f>
              <c:strCache>
                <c:ptCount val="1"/>
                <c:pt idx="0">
                  <c:v>LAS BARRERAS 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'36SPPG'!$D$18</c:f>
              <c:numCache>
                <c:ptCount val="1"/>
                <c:pt idx="0">
                  <c:v>2849.8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'36SPPG'!$B$19</c:f>
              <c:strCache>
                <c:ptCount val="1"/>
                <c:pt idx="0">
                  <c:v>EL ROMERAL     (*)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'36SPPG'!$D$19</c:f>
              <c:numCache>
                <c:ptCount val="1"/>
                <c:pt idx="0">
                  <c:v>13823.1</c:v>
                </c:pt>
              </c:numCache>
            </c:numRef>
          </c:val>
          <c:shape val="box"/>
        </c:ser>
        <c:shape val="box"/>
        <c:axId val="6455125"/>
        <c:axId val="58096126"/>
      </c:bar3DChart>
      <c:catAx>
        <c:axId val="6455125"/>
        <c:scaling>
          <c:orientation val="minMax"/>
        </c:scaling>
        <c:axPos val="l"/>
        <c:delete val="1"/>
        <c:majorTickMark val="out"/>
        <c:minorTickMark val="none"/>
        <c:tickLblPos val="low"/>
        <c:crossAx val="58096126"/>
        <c:crosses val="autoZero"/>
        <c:auto val="1"/>
        <c:lblOffset val="100"/>
        <c:noMultiLvlLbl val="0"/>
      </c:catAx>
      <c:valAx>
        <c:axId val="58096126"/>
        <c:scaling>
          <c:orientation val="minMax"/>
          <c:max val="500000"/>
          <c:min val="0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455125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65775"/>
          <c:w val="0.6115"/>
          <c:h val="0.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PRODUCCIÓN ANUAL DE PETRÓLEO (últimos 5 años)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"/>
          <c:w val="0.903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'39PAP'!$A$46:$A$50</c:f>
              <c:strCache>
                <c:ptCount val="1"/>
                <c:pt idx="0">
                  <c:v>2001 2002 2003 2004 2005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'39PAP'!$A$46:$A$50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'39PAP'!$P$46:$P$50</c:f>
              <c:numCache>
                <c:ptCount val="5"/>
                <c:pt idx="0">
                  <c:v>338</c:v>
                </c:pt>
                <c:pt idx="1">
                  <c:v>316</c:v>
                </c:pt>
                <c:pt idx="2">
                  <c:v>320</c:v>
                </c:pt>
                <c:pt idx="3">
                  <c:v>255</c:v>
                </c:pt>
                <c:pt idx="4">
                  <c:v>166</c:v>
                </c:pt>
              </c:numCache>
            </c:numRef>
          </c:val>
          <c:smooth val="0"/>
        </c:ser>
        <c:axId val="53103087"/>
        <c:axId val="8165736"/>
      </c:lineChart>
      <c:catAx>
        <c:axId val="5310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165736"/>
        <c:crosses val="autoZero"/>
        <c:auto val="1"/>
        <c:lblOffset val="100"/>
        <c:noMultiLvlLbl val="0"/>
      </c:catAx>
      <c:valAx>
        <c:axId val="816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03087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PRODUCCIÓN ANUAL DE GAS (últimos 5 años)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'310PAG'!$A$45:$A$49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'310PAG'!$O$45:$O$49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</c:v>
                </c:pt>
              </c:numCache>
            </c:numRef>
          </c:val>
          <c:smooth val="0"/>
        </c:ser>
        <c:marker val="1"/>
        <c:axId val="6382761"/>
        <c:axId val="57444850"/>
      </c:lineChart>
      <c:catAx>
        <c:axId val="638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444850"/>
        <c:crosses val="autoZero"/>
        <c:auto val="1"/>
        <c:lblOffset val="100"/>
        <c:noMultiLvlLbl val="0"/>
      </c:catAx>
      <c:valAx>
        <c:axId val="5744485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Miles de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82761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PETRÓLEO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'311PAGyP'!$C$44:$C$48</c:f>
              <c:numCache>
                <c:ptCount val="5"/>
                <c:pt idx="0">
                  <c:v>337.6</c:v>
                </c:pt>
                <c:pt idx="1">
                  <c:v>316.3</c:v>
                </c:pt>
                <c:pt idx="2">
                  <c:v>320.6</c:v>
                </c:pt>
                <c:pt idx="3">
                  <c:v>254.548</c:v>
                </c:pt>
                <c:pt idx="4">
                  <c:v>166.014</c:v>
                </c:pt>
              </c:numCache>
            </c:numRef>
          </c:val>
        </c:ser>
        <c:overlap val="100"/>
        <c:axId val="47241603"/>
        <c:axId val="22521244"/>
      </c:barChart>
      <c:cat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21244"/>
        <c:crosses val="autoZero"/>
        <c:auto val="1"/>
        <c:lblOffset val="100"/>
        <c:noMultiLvlLbl val="0"/>
      </c:catAx>
      <c:valAx>
        <c:axId val="22521244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41603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'311PAGyP'!$E$44:$E$48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145.456</c:v>
                </c:pt>
              </c:numCache>
            </c:numRef>
          </c:val>
        </c:ser>
        <c:overlap val="100"/>
        <c:axId val="1364605"/>
        <c:axId val="12281446"/>
      </c:barChart>
      <c:catAx>
        <c:axId val="13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81446"/>
        <c:crosses val="autoZero"/>
        <c:auto val="1"/>
        <c:lblOffset val="100"/>
        <c:noMultiLvlLbl val="0"/>
      </c:catAx>
      <c:valAx>
        <c:axId val="12281446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4605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
(Miles de Tm y/o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'311PAGyP'!$C$44:$C$48</c:f>
              <c:numCache>
                <c:ptCount val="5"/>
                <c:pt idx="0">
                  <c:v>337.6</c:v>
                </c:pt>
                <c:pt idx="1">
                  <c:v>316.3</c:v>
                </c:pt>
                <c:pt idx="2">
                  <c:v>320.6</c:v>
                </c:pt>
                <c:pt idx="3">
                  <c:v>254.548</c:v>
                </c:pt>
                <c:pt idx="4">
                  <c:v>166.014</c:v>
                </c:pt>
              </c:numCache>
            </c:numRef>
          </c:val>
        </c:ser>
        <c:ser>
          <c:idx val="1"/>
          <c:order val="1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'311PAGyP'!$D$44:$D$48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'311PAGyP'!$E$44:$E$48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145.456</c:v>
                </c:pt>
              </c:numCache>
            </c:numRef>
          </c:val>
        </c:ser>
        <c:overlap val="100"/>
        <c:axId val="43424151"/>
        <c:axId val="55273040"/>
      </c:barChart>
      <c:catAx>
        <c:axId val="4342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73040"/>
        <c:crosses val="autoZero"/>
        <c:auto val="1"/>
        <c:lblOffset val="100"/>
        <c:noMultiLvlLbl val="0"/>
      </c:catAx>
      <c:valAx>
        <c:axId val="55273040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24151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40</xdr:row>
      <xdr:rowOff>19050</xdr:rowOff>
    </xdr:from>
    <xdr:to>
      <xdr:col>7</xdr:col>
      <xdr:colOff>495300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685800" y="6572250"/>
        <a:ext cx="46767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25</xdr:row>
      <xdr:rowOff>28575</xdr:rowOff>
    </xdr:from>
    <xdr:to>
      <xdr:col>8</xdr:col>
      <xdr:colOff>485775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1419225" y="4133850"/>
        <a:ext cx="5581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</xdr:rowOff>
    </xdr:from>
    <xdr:to>
      <xdr:col>7</xdr:col>
      <xdr:colOff>476250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14300" y="3257550"/>
        <a:ext cx="6181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28575</xdr:rowOff>
    </xdr:from>
    <xdr:to>
      <xdr:col>9</xdr:col>
      <xdr:colOff>904875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323850" y="5324475"/>
        <a:ext cx="5676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28575</xdr:rowOff>
    </xdr:from>
    <xdr:to>
      <xdr:col>13</xdr:col>
      <xdr:colOff>895350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200650" y="1581150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19050</xdr:rowOff>
    </xdr:from>
    <xdr:to>
      <xdr:col>10</xdr:col>
      <xdr:colOff>371475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124200" y="1390650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114300</xdr:rowOff>
    </xdr:from>
    <xdr:to>
      <xdr:col>2</xdr:col>
      <xdr:colOff>2314575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14375" y="1990725"/>
        <a:ext cx="22288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11</xdr:row>
      <xdr:rowOff>104775</xdr:rowOff>
    </xdr:from>
    <xdr:to>
      <xdr:col>4</xdr:col>
      <xdr:colOff>2352675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3905250" y="1981200"/>
        <a:ext cx="22383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2362200</xdr:colOff>
      <xdr:row>41</xdr:row>
      <xdr:rowOff>142875</xdr:rowOff>
    </xdr:to>
    <xdr:graphicFrame>
      <xdr:nvGraphicFramePr>
        <xdr:cNvPr id="3" name="Chart 4"/>
        <xdr:cNvGraphicFramePr/>
      </xdr:nvGraphicFramePr>
      <xdr:xfrm>
        <a:off x="7058025" y="1981200"/>
        <a:ext cx="225742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133350</xdr:rowOff>
    </xdr:from>
    <xdr:to>
      <xdr:col>6</xdr:col>
      <xdr:colOff>581025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81000" y="6076950"/>
        <a:ext cx="5400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46">
      <selection activeCell="A11" sqref="A11:C21"/>
    </sheetView>
  </sheetViews>
  <sheetFormatPr defaultColWidth="11.421875" defaultRowHeight="12.75"/>
  <cols>
    <col min="1" max="1" width="15.7109375" style="56" customWidth="1"/>
    <col min="2" max="2" width="11.7109375" style="56" customWidth="1"/>
    <col min="3" max="3" width="10.7109375" style="56" customWidth="1"/>
    <col min="4" max="4" width="7.7109375" style="56" customWidth="1"/>
    <col min="5" max="5" width="1.7109375" style="56" customWidth="1"/>
    <col min="6" max="7" width="12.7109375" style="56" customWidth="1"/>
    <col min="8" max="8" width="7.7109375" style="56" customWidth="1"/>
    <col min="9" max="9" width="1.7109375" style="56" customWidth="1"/>
    <col min="10" max="10" width="11.8515625" style="56" customWidth="1"/>
    <col min="11" max="11" width="11.421875" style="56" customWidth="1"/>
    <col min="12" max="12" width="16.28125" style="56" customWidth="1"/>
    <col min="13" max="13" width="8.7109375" style="56" customWidth="1"/>
    <col min="14" max="16384" width="11.421875" style="56" customWidth="1"/>
  </cols>
  <sheetData>
    <row r="1" ht="15.75">
      <c r="A1" s="61" t="s">
        <v>118</v>
      </c>
    </row>
    <row r="4" ht="13.5" thickBot="1"/>
    <row r="5" spans="1:11" ht="13.5" thickTop="1">
      <c r="A5" s="79"/>
      <c r="B5" s="80"/>
      <c r="C5" s="80"/>
      <c r="D5" s="80"/>
      <c r="E5" s="80"/>
      <c r="F5" s="80"/>
      <c r="G5" s="80"/>
      <c r="H5" s="80"/>
      <c r="I5" s="80"/>
      <c r="J5" s="81"/>
      <c r="K5" s="57"/>
    </row>
    <row r="6" spans="1:11" ht="12.75">
      <c r="A6" s="82"/>
      <c r="B6" s="66"/>
      <c r="C6" s="66"/>
      <c r="D6" s="66"/>
      <c r="E6" s="66"/>
      <c r="F6" s="68" t="s">
        <v>119</v>
      </c>
      <c r="G6" s="69"/>
      <c r="H6" s="69"/>
      <c r="I6" s="69"/>
      <c r="J6" s="83"/>
      <c r="K6" s="57"/>
    </row>
    <row r="7" spans="1:11" ht="12.75">
      <c r="A7" s="82"/>
      <c r="B7" s="97" t="s">
        <v>120</v>
      </c>
      <c r="C7" s="99"/>
      <c r="D7" s="99"/>
      <c r="E7" s="69"/>
      <c r="F7" s="97" t="s">
        <v>0</v>
      </c>
      <c r="G7" s="99"/>
      <c r="H7" s="99"/>
      <c r="I7" s="69"/>
      <c r="J7" s="83"/>
      <c r="K7" s="57"/>
    </row>
    <row r="8" spans="1:13" ht="12.75">
      <c r="A8" s="84" t="s">
        <v>1</v>
      </c>
      <c r="B8" s="65"/>
      <c r="C8" s="65"/>
      <c r="D8" s="65"/>
      <c r="E8" s="65"/>
      <c r="F8" s="65"/>
      <c r="G8" s="65"/>
      <c r="H8" s="65"/>
      <c r="I8" s="65"/>
      <c r="J8" s="85" t="s">
        <v>2</v>
      </c>
      <c r="K8" s="57"/>
      <c r="L8" s="416" t="s">
        <v>160</v>
      </c>
      <c r="M8" s="416"/>
    </row>
    <row r="9" spans="1:11" ht="12.75">
      <c r="A9" s="86" t="s">
        <v>3</v>
      </c>
      <c r="B9" s="78" t="s">
        <v>156</v>
      </c>
      <c r="C9" s="78" t="s">
        <v>155</v>
      </c>
      <c r="D9" s="78" t="s">
        <v>90</v>
      </c>
      <c r="E9" s="78"/>
      <c r="F9" s="78" t="s">
        <v>156</v>
      </c>
      <c r="G9" s="78" t="s">
        <v>155</v>
      </c>
      <c r="H9" s="78" t="s">
        <v>90</v>
      </c>
      <c r="I9" s="78"/>
      <c r="J9" s="87" t="s">
        <v>4</v>
      </c>
      <c r="K9" s="57"/>
    </row>
    <row r="10" spans="1:13" ht="12.75">
      <c r="A10" s="90"/>
      <c r="B10" s="57"/>
      <c r="C10" s="57"/>
      <c r="D10" s="57"/>
      <c r="E10" s="57"/>
      <c r="F10" s="57"/>
      <c r="G10" s="57"/>
      <c r="H10" s="57"/>
      <c r="I10" s="57"/>
      <c r="J10" s="92"/>
      <c r="K10" s="57"/>
      <c r="L10" s="56" t="s">
        <v>5</v>
      </c>
      <c r="M10" s="342">
        <f>+D11/100</f>
        <v>0.034328430132398474</v>
      </c>
    </row>
    <row r="11" spans="1:13" ht="12.75">
      <c r="A11" s="88" t="s">
        <v>91</v>
      </c>
      <c r="B11" s="60">
        <f>+'32PMC'!C22</f>
        <v>41410</v>
      </c>
      <c r="C11" s="60">
        <f>+'32PMC'!B22</f>
        <v>5699</v>
      </c>
      <c r="D11" s="62">
        <f>(+C11/C$23)*100</f>
        <v>3.4328430132398475</v>
      </c>
      <c r="E11" s="62"/>
      <c r="F11" s="60">
        <f>+'33PAC'!C23</f>
        <v>16963337</v>
      </c>
      <c r="G11" s="60">
        <f>+'33PAC'!B23</f>
        <v>2270444</v>
      </c>
      <c r="H11" s="62">
        <f>(+G11/G$23)*100</f>
        <v>9.682353817159047</v>
      </c>
      <c r="I11" s="62"/>
      <c r="J11" s="89" t="s">
        <v>110</v>
      </c>
      <c r="K11" s="57"/>
      <c r="L11" s="56" t="s">
        <v>161</v>
      </c>
      <c r="M11" s="342">
        <f>+D14/100</f>
        <v>0.6035876492344019</v>
      </c>
    </row>
    <row r="12" spans="1:13" ht="12.75">
      <c r="A12" s="90"/>
      <c r="D12" s="62"/>
      <c r="E12" s="62"/>
      <c r="H12" s="60"/>
      <c r="I12" s="60"/>
      <c r="J12" s="91"/>
      <c r="K12" s="57"/>
      <c r="L12" s="56" t="s">
        <v>11</v>
      </c>
      <c r="M12" s="342">
        <f>+D17/100</f>
        <v>0.2046212969990483</v>
      </c>
    </row>
    <row r="13" spans="1:13" ht="12.75">
      <c r="A13" s="88" t="s">
        <v>158</v>
      </c>
      <c r="D13" s="62"/>
      <c r="E13" s="62"/>
      <c r="H13" s="60"/>
      <c r="I13" s="60"/>
      <c r="J13" s="91"/>
      <c r="K13" s="57"/>
      <c r="L13" s="56" t="s">
        <v>162</v>
      </c>
      <c r="M13" s="342">
        <f>+D20/100</f>
        <v>0.15746262363415134</v>
      </c>
    </row>
    <row r="14" spans="1:11" ht="12.75">
      <c r="A14" s="88" t="s">
        <v>8</v>
      </c>
      <c r="B14" s="60">
        <f>+'32PMC'!E22</f>
        <v>730858</v>
      </c>
      <c r="C14" s="60">
        <f>+'32PMC'!D22</f>
        <v>100204</v>
      </c>
      <c r="D14" s="62">
        <f>(+C14/C$23)*100</f>
        <v>60.35876492344019</v>
      </c>
      <c r="E14" s="62"/>
      <c r="F14" s="60">
        <f>+'33PAC'!E23</f>
        <v>143616444</v>
      </c>
      <c r="G14" s="60">
        <f>+'33PAC'!D23</f>
        <v>19650047</v>
      </c>
      <c r="H14" s="62">
        <f>(+G14/G$23)*100</f>
        <v>83.79801817521361</v>
      </c>
      <c r="I14" s="62"/>
      <c r="J14" s="89" t="s">
        <v>6</v>
      </c>
      <c r="K14" s="57"/>
    </row>
    <row r="15" spans="1:11" ht="12.75">
      <c r="A15" s="88" t="s">
        <v>9</v>
      </c>
      <c r="D15" s="62"/>
      <c r="E15" s="62"/>
      <c r="H15" s="60"/>
      <c r="I15" s="60"/>
      <c r="J15" s="91"/>
      <c r="K15" s="57"/>
    </row>
    <row r="16" spans="1:11" ht="12.75">
      <c r="A16" s="90"/>
      <c r="B16" s="57"/>
      <c r="C16" s="57"/>
      <c r="D16" s="63"/>
      <c r="E16" s="63"/>
      <c r="F16" s="57"/>
      <c r="G16" s="57"/>
      <c r="H16" s="5"/>
      <c r="I16" s="5"/>
      <c r="J16" s="92"/>
      <c r="K16" s="57"/>
    </row>
    <row r="17" spans="1:11" ht="12.75">
      <c r="A17" s="88" t="s">
        <v>92</v>
      </c>
      <c r="B17" s="60">
        <f>+'32PMC'!G22</f>
        <v>262972</v>
      </c>
      <c r="C17" s="60">
        <f>+'32PMC'!F22</f>
        <v>33970</v>
      </c>
      <c r="D17" s="62">
        <f>(+C17/C$23)*100</f>
        <v>20.46212969990483</v>
      </c>
      <c r="E17" s="62"/>
      <c r="F17" s="60">
        <f>+'33PAC'!G23</f>
        <v>6688437</v>
      </c>
      <c r="G17" s="60">
        <f>+'33PAC'!F23</f>
        <v>873941</v>
      </c>
      <c r="H17" s="62">
        <f>(+G17/G$23)*100</f>
        <v>3.726938861879788</v>
      </c>
      <c r="I17" s="62"/>
      <c r="J17" s="89" t="s">
        <v>6</v>
      </c>
      <c r="K17" s="57"/>
    </row>
    <row r="18" spans="1:11" ht="12.75">
      <c r="A18" s="88"/>
      <c r="B18" s="60"/>
      <c r="C18" s="60"/>
      <c r="D18" s="62"/>
      <c r="E18" s="62"/>
      <c r="F18" s="60"/>
      <c r="G18" s="60"/>
      <c r="H18" s="62"/>
      <c r="I18" s="62"/>
      <c r="J18" s="89"/>
      <c r="K18" s="57"/>
    </row>
    <row r="19" spans="1:11" ht="12.75">
      <c r="A19" s="88" t="s">
        <v>159</v>
      </c>
      <c r="D19" s="62"/>
      <c r="E19" s="62"/>
      <c r="H19" s="60"/>
      <c r="I19" s="60"/>
      <c r="J19" s="91"/>
      <c r="K19" s="57"/>
    </row>
    <row r="20" spans="1:11" ht="12.75">
      <c r="A20" s="88" t="s">
        <v>12</v>
      </c>
      <c r="B20" s="56">
        <f>+'32PMC'!I22</f>
        <v>198897</v>
      </c>
      <c r="C20" s="56">
        <f>+'32PMC'!H22</f>
        <v>26141</v>
      </c>
      <c r="D20" s="62">
        <f>(+C20/C$23)*100</f>
        <v>15.746262363415134</v>
      </c>
      <c r="E20" s="62"/>
      <c r="F20" s="56">
        <f>+'33PAC'!I23</f>
        <v>4950993</v>
      </c>
      <c r="G20" s="56">
        <f>+'33PAC'!H23</f>
        <v>654866</v>
      </c>
      <c r="H20" s="62">
        <f>(+G20/G$23)*100</f>
        <v>2.7926891457475613</v>
      </c>
      <c r="I20" s="60"/>
      <c r="J20" s="89" t="s">
        <v>6</v>
      </c>
      <c r="K20" s="57"/>
    </row>
    <row r="21" spans="1:11" ht="12.75">
      <c r="A21" s="88" t="s">
        <v>13</v>
      </c>
      <c r="D21" s="62"/>
      <c r="E21" s="62"/>
      <c r="H21" s="60"/>
      <c r="I21" s="60"/>
      <c r="J21" s="91"/>
      <c r="K21" s="57"/>
    </row>
    <row r="22" spans="1:11" ht="12.75">
      <c r="A22" s="90"/>
      <c r="B22" s="57"/>
      <c r="C22" s="57"/>
      <c r="D22" s="64"/>
      <c r="E22" s="64"/>
      <c r="F22" s="57"/>
      <c r="G22" s="57"/>
      <c r="H22" s="57"/>
      <c r="I22" s="57"/>
      <c r="J22" s="92"/>
      <c r="K22" s="57"/>
    </row>
    <row r="23" spans="1:11" ht="12.75">
      <c r="A23" s="144" t="s">
        <v>14</v>
      </c>
      <c r="B23" s="140">
        <f>SUM(B11:B21)</f>
        <v>1234137</v>
      </c>
      <c r="C23" s="140">
        <f>SUM(C11:C21)</f>
        <v>166014</v>
      </c>
      <c r="D23" s="147">
        <f>SUM(D11:D21)</f>
        <v>100</v>
      </c>
      <c r="E23" s="147"/>
      <c r="F23" s="140">
        <f>SUM(F11:F21)</f>
        <v>172219211</v>
      </c>
      <c r="G23" s="140">
        <f>SUM(G11:G21)</f>
        <v>23449298</v>
      </c>
      <c r="H23" s="147">
        <f>SUM(H11:H21)</f>
        <v>100</v>
      </c>
      <c r="I23" s="147"/>
      <c r="J23" s="148" t="s">
        <v>15</v>
      </c>
      <c r="K23" s="57"/>
    </row>
    <row r="24" spans="1:11" ht="12.75">
      <c r="A24" s="88"/>
      <c r="B24" s="60"/>
      <c r="C24" s="60"/>
      <c r="D24" s="62"/>
      <c r="E24" s="62"/>
      <c r="F24" s="60"/>
      <c r="G24" s="60"/>
      <c r="H24" s="62"/>
      <c r="I24" s="62"/>
      <c r="J24" s="328"/>
      <c r="K24" s="57"/>
    </row>
    <row r="25" spans="1:11" ht="12.75">
      <c r="A25" s="329" t="s">
        <v>53</v>
      </c>
      <c r="B25" s="58" t="s">
        <v>157</v>
      </c>
      <c r="C25" s="60"/>
      <c r="D25" s="62"/>
      <c r="E25" s="62"/>
      <c r="F25" s="60"/>
      <c r="G25" s="60"/>
      <c r="H25" s="62"/>
      <c r="I25" s="62"/>
      <c r="J25" s="328"/>
      <c r="K25" s="57"/>
    </row>
    <row r="26" spans="1:11" ht="13.5" thickBot="1">
      <c r="A26" s="93"/>
      <c r="B26" s="95"/>
      <c r="C26" s="95"/>
      <c r="D26" s="95"/>
      <c r="E26" s="95"/>
      <c r="F26" s="95"/>
      <c r="G26" s="95"/>
      <c r="H26" s="95"/>
      <c r="I26" s="95"/>
      <c r="J26" s="96"/>
      <c r="K26" s="57"/>
    </row>
    <row r="27" spans="1:10" ht="13.5" thickTop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2" ht="12.75">
      <c r="A28" s="330" t="s">
        <v>97</v>
      </c>
      <c r="B28" s="56" t="s">
        <v>100</v>
      </c>
    </row>
    <row r="29" spans="1:2" ht="12.75">
      <c r="A29" s="330"/>
      <c r="B29" s="56" t="s">
        <v>101</v>
      </c>
    </row>
    <row r="30" ht="12.75">
      <c r="A30" s="330"/>
    </row>
    <row r="31" spans="1:3" ht="12.75">
      <c r="A31" s="327"/>
      <c r="B31" s="327" t="s">
        <v>93</v>
      </c>
      <c r="C31" s="56" t="s">
        <v>102</v>
      </c>
    </row>
    <row r="32" spans="1:2" ht="12.75">
      <c r="A32" s="327"/>
      <c r="B32" s="327"/>
    </row>
    <row r="33" spans="1:3" ht="12.75">
      <c r="A33" s="327"/>
      <c r="B33" s="327" t="s">
        <v>94</v>
      </c>
      <c r="C33" s="56" t="s">
        <v>111</v>
      </c>
    </row>
    <row r="34" spans="1:2" ht="12.75">
      <c r="A34" s="327"/>
      <c r="B34" s="327"/>
    </row>
    <row r="35" spans="1:3" ht="12.75">
      <c r="A35" s="327"/>
      <c r="B35" s="327" t="s">
        <v>95</v>
      </c>
      <c r="C35" s="56" t="s">
        <v>109</v>
      </c>
    </row>
    <row r="36" spans="1:2" ht="12.75">
      <c r="A36" s="327"/>
      <c r="B36" s="327"/>
    </row>
    <row r="37" spans="1:3" ht="12.75">
      <c r="A37" s="327"/>
      <c r="B37" s="327" t="s">
        <v>96</v>
      </c>
      <c r="C37" s="56" t="s">
        <v>103</v>
      </c>
    </row>
  </sheetData>
  <mergeCells count="1">
    <mergeCell ref="L8:M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&amp;C&amp;9 3.1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workbookViewId="0" topLeftCell="A1">
      <pane xSplit="1" ySplit="6" topLeftCell="F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9" sqref="O49"/>
    </sheetView>
  </sheetViews>
  <sheetFormatPr defaultColWidth="12.57421875" defaultRowHeight="12.75"/>
  <cols>
    <col min="1" max="1" width="7.7109375" style="207" customWidth="1"/>
    <col min="2" max="2" width="2.7109375" style="45" customWidth="1"/>
    <col min="3" max="11" width="11.7109375" style="45" customWidth="1"/>
    <col min="12" max="12" width="2.7109375" style="45" customWidth="1"/>
    <col min="13" max="13" width="9.7109375" style="45" customWidth="1"/>
    <col min="14" max="14" width="2.7109375" style="45" customWidth="1"/>
    <col min="15" max="15" width="10.7109375" style="56" customWidth="1"/>
    <col min="16" max="16" width="3.57421875" style="45" customWidth="1"/>
    <col min="17" max="16384" width="12.57421875" style="45" customWidth="1"/>
  </cols>
  <sheetData>
    <row r="1" spans="1:3" ht="15.75">
      <c r="A1" s="210" t="s">
        <v>66</v>
      </c>
      <c r="B1" s="46" t="s">
        <v>137</v>
      </c>
      <c r="C1" s="211"/>
    </row>
    <row r="3" spans="1:16" ht="13.5" thickBot="1">
      <c r="A3" s="205"/>
      <c r="B3" s="2"/>
      <c r="C3"/>
      <c r="D3"/>
      <c r="E3" s="2"/>
      <c r="F3" s="2"/>
      <c r="G3" s="2"/>
      <c r="H3" s="2"/>
      <c r="I3" s="2"/>
      <c r="J3" s="2"/>
      <c r="K3" s="2"/>
      <c r="L3" s="2"/>
      <c r="M3" s="2"/>
      <c r="N3" s="2"/>
      <c r="O3"/>
      <c r="P3" s="2"/>
    </row>
    <row r="4" spans="1:16" ht="15" thickTop="1">
      <c r="A4" s="230"/>
      <c r="B4" s="44"/>
      <c r="C4" s="217" t="s">
        <v>67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14</v>
      </c>
      <c r="P4" s="2"/>
    </row>
    <row r="5" spans="1:16" ht="12.75">
      <c r="A5" s="223" t="s">
        <v>61</v>
      </c>
      <c r="B5" s="202"/>
      <c r="C5" s="202"/>
      <c r="D5" s="202"/>
      <c r="E5" s="203" t="s">
        <v>59</v>
      </c>
      <c r="F5" s="202"/>
      <c r="G5" s="202"/>
      <c r="H5" s="202"/>
      <c r="I5" s="202"/>
      <c r="J5" s="202" t="s">
        <v>86</v>
      </c>
      <c r="K5" s="202" t="s">
        <v>150</v>
      </c>
      <c r="L5" s="202"/>
      <c r="M5" s="202"/>
      <c r="N5" s="202"/>
      <c r="O5" s="234"/>
      <c r="P5" s="2"/>
    </row>
    <row r="6" spans="1:16" ht="12.75">
      <c r="A6" s="224" t="s">
        <v>62</v>
      </c>
      <c r="B6" s="202"/>
      <c r="C6" s="213" t="s">
        <v>68</v>
      </c>
      <c r="D6" s="213" t="s">
        <v>56</v>
      </c>
      <c r="E6" s="213" t="s">
        <v>65</v>
      </c>
      <c r="F6" s="213" t="s">
        <v>36</v>
      </c>
      <c r="G6" s="213" t="s">
        <v>10</v>
      </c>
      <c r="H6" s="213" t="s">
        <v>128</v>
      </c>
      <c r="I6" s="213" t="s">
        <v>82</v>
      </c>
      <c r="J6" s="213" t="s">
        <v>87</v>
      </c>
      <c r="K6" s="213" t="s">
        <v>151</v>
      </c>
      <c r="L6" s="202"/>
      <c r="M6" s="213" t="s">
        <v>14</v>
      </c>
      <c r="N6" s="202"/>
      <c r="O6" s="235" t="s">
        <v>169</v>
      </c>
      <c r="P6" s="2"/>
    </row>
    <row r="7" spans="1:16" ht="12.75">
      <c r="A7" s="236">
        <v>1963</v>
      </c>
      <c r="C7" s="49">
        <v>3816</v>
      </c>
      <c r="D7" s="214" t="s">
        <v>15</v>
      </c>
      <c r="E7" s="214" t="s">
        <v>15</v>
      </c>
      <c r="F7" s="214" t="s">
        <v>15</v>
      </c>
      <c r="G7" s="214" t="s">
        <v>15</v>
      </c>
      <c r="H7" s="214" t="s">
        <v>15</v>
      </c>
      <c r="I7" s="214" t="s">
        <v>15</v>
      </c>
      <c r="J7" s="214" t="s">
        <v>15</v>
      </c>
      <c r="K7" s="214" t="s">
        <v>15</v>
      </c>
      <c r="L7" s="111"/>
      <c r="M7" s="49">
        <f aca="true" t="shared" si="0" ref="M7:M22">SUM(C7:L7)</f>
        <v>3816</v>
      </c>
      <c r="O7" s="237">
        <f aca="true" t="shared" si="1" ref="O7:O22">M7/1000</f>
        <v>3.816</v>
      </c>
      <c r="P7" s="2"/>
    </row>
    <row r="8" spans="1:16" ht="12.75">
      <c r="A8" s="236">
        <v>1964</v>
      </c>
      <c r="B8" s="2"/>
      <c r="C8" s="49">
        <v>2475</v>
      </c>
      <c r="D8" s="214" t="s">
        <v>15</v>
      </c>
      <c r="E8" s="214" t="s">
        <v>15</v>
      </c>
      <c r="F8" s="214" t="s">
        <v>15</v>
      </c>
      <c r="G8" s="214" t="s">
        <v>15</v>
      </c>
      <c r="H8" s="214" t="s">
        <v>15</v>
      </c>
      <c r="I8" s="214" t="s">
        <v>15</v>
      </c>
      <c r="J8" s="214" t="s">
        <v>15</v>
      </c>
      <c r="K8" s="214" t="s">
        <v>15</v>
      </c>
      <c r="L8" s="111"/>
      <c r="M8" s="49">
        <f t="shared" si="0"/>
        <v>2475</v>
      </c>
      <c r="N8" s="2"/>
      <c r="O8" s="237">
        <f t="shared" si="1"/>
        <v>2.475</v>
      </c>
      <c r="P8" s="2"/>
    </row>
    <row r="9" spans="1:16" ht="12.75">
      <c r="A9" s="236">
        <v>1965</v>
      </c>
      <c r="B9" s="2"/>
      <c r="C9" s="49">
        <v>2474</v>
      </c>
      <c r="D9" s="214" t="s">
        <v>15</v>
      </c>
      <c r="E9" s="214" t="s">
        <v>15</v>
      </c>
      <c r="F9" s="214" t="s">
        <v>15</v>
      </c>
      <c r="G9" s="214" t="s">
        <v>15</v>
      </c>
      <c r="H9" s="214" t="s">
        <v>15</v>
      </c>
      <c r="I9" s="214" t="s">
        <v>15</v>
      </c>
      <c r="J9" s="214" t="s">
        <v>15</v>
      </c>
      <c r="K9" s="214" t="s">
        <v>15</v>
      </c>
      <c r="L9" s="111"/>
      <c r="M9" s="49">
        <f t="shared" si="0"/>
        <v>2474</v>
      </c>
      <c r="N9" s="2"/>
      <c r="O9" s="237">
        <f t="shared" si="1"/>
        <v>2.474</v>
      </c>
      <c r="P9" s="2"/>
    </row>
    <row r="10" spans="1:16" ht="12.75">
      <c r="A10" s="236">
        <v>1966</v>
      </c>
      <c r="B10" s="2"/>
      <c r="C10" s="49">
        <v>2475</v>
      </c>
      <c r="D10" s="214" t="s">
        <v>15</v>
      </c>
      <c r="E10" s="214" t="s">
        <v>15</v>
      </c>
      <c r="F10" s="214" t="s">
        <v>15</v>
      </c>
      <c r="G10" s="214" t="s">
        <v>15</v>
      </c>
      <c r="H10" s="214" t="s">
        <v>15</v>
      </c>
      <c r="I10" s="214" t="s">
        <v>15</v>
      </c>
      <c r="J10" s="214" t="s">
        <v>15</v>
      </c>
      <c r="K10" s="214" t="s">
        <v>15</v>
      </c>
      <c r="L10" s="111"/>
      <c r="M10" s="49">
        <f t="shared" si="0"/>
        <v>2475</v>
      </c>
      <c r="N10" s="2"/>
      <c r="O10" s="237">
        <f t="shared" si="1"/>
        <v>2.475</v>
      </c>
      <c r="P10" s="2"/>
    </row>
    <row r="11" spans="1:16" ht="12.75">
      <c r="A11" s="236">
        <v>1967</v>
      </c>
      <c r="B11" s="2"/>
      <c r="C11" s="49">
        <v>2475</v>
      </c>
      <c r="D11" s="214" t="s">
        <v>15</v>
      </c>
      <c r="E11" s="214" t="s">
        <v>15</v>
      </c>
      <c r="F11" s="214" t="s">
        <v>15</v>
      </c>
      <c r="G11" s="214" t="s">
        <v>15</v>
      </c>
      <c r="H11" s="214" t="s">
        <v>15</v>
      </c>
      <c r="I11" s="214" t="s">
        <v>15</v>
      </c>
      <c r="J11" s="214" t="s">
        <v>15</v>
      </c>
      <c r="K11" s="214" t="s">
        <v>15</v>
      </c>
      <c r="L11" s="111"/>
      <c r="M11" s="49">
        <f t="shared" si="0"/>
        <v>2475</v>
      </c>
      <c r="N11" s="2"/>
      <c r="O11" s="237">
        <f t="shared" si="1"/>
        <v>2.475</v>
      </c>
      <c r="P11" s="2"/>
    </row>
    <row r="12" spans="1:16" ht="12.75">
      <c r="A12" s="236">
        <v>1968</v>
      </c>
      <c r="B12" s="2"/>
      <c r="C12" s="49">
        <v>2474</v>
      </c>
      <c r="D12" s="214" t="s">
        <v>15</v>
      </c>
      <c r="E12" s="214" t="s">
        <v>15</v>
      </c>
      <c r="F12" s="214" t="s">
        <v>15</v>
      </c>
      <c r="G12" s="214" t="s">
        <v>15</v>
      </c>
      <c r="H12" s="214" t="s">
        <v>15</v>
      </c>
      <c r="I12" s="214" t="s">
        <v>15</v>
      </c>
      <c r="J12" s="214" t="s">
        <v>15</v>
      </c>
      <c r="K12" s="214" t="s">
        <v>15</v>
      </c>
      <c r="L12" s="111"/>
      <c r="M12" s="49">
        <f t="shared" si="0"/>
        <v>2474</v>
      </c>
      <c r="N12" s="2"/>
      <c r="O12" s="237">
        <f t="shared" si="1"/>
        <v>2.474</v>
      </c>
      <c r="P12" s="2"/>
    </row>
    <row r="13" spans="1:16" ht="12.75">
      <c r="A13" s="236">
        <v>1969</v>
      </c>
      <c r="B13" s="2"/>
      <c r="C13" s="49">
        <v>2476</v>
      </c>
      <c r="D13" s="214" t="s">
        <v>15</v>
      </c>
      <c r="E13" s="214" t="s">
        <v>15</v>
      </c>
      <c r="F13" s="214" t="s">
        <v>15</v>
      </c>
      <c r="G13" s="214" t="s">
        <v>15</v>
      </c>
      <c r="H13" s="214" t="s">
        <v>15</v>
      </c>
      <c r="I13" s="214" t="s">
        <v>15</v>
      </c>
      <c r="J13" s="214" t="s">
        <v>15</v>
      </c>
      <c r="K13" s="214" t="s">
        <v>15</v>
      </c>
      <c r="L13" s="111"/>
      <c r="M13" s="49">
        <f t="shared" si="0"/>
        <v>2476</v>
      </c>
      <c r="N13" s="2"/>
      <c r="O13" s="237">
        <f t="shared" si="1"/>
        <v>2.476</v>
      </c>
      <c r="P13" s="2"/>
    </row>
    <row r="14" spans="1:16" ht="12.75">
      <c r="A14" s="236">
        <v>1970</v>
      </c>
      <c r="B14" s="2"/>
      <c r="C14" s="49">
        <v>1749</v>
      </c>
      <c r="D14" s="214" t="s">
        <v>15</v>
      </c>
      <c r="E14" s="214" t="s">
        <v>15</v>
      </c>
      <c r="F14" s="214" t="s">
        <v>15</v>
      </c>
      <c r="G14" s="214" t="s">
        <v>15</v>
      </c>
      <c r="H14" s="214" t="s">
        <v>15</v>
      </c>
      <c r="I14" s="214" t="s">
        <v>15</v>
      </c>
      <c r="J14" s="214" t="s">
        <v>15</v>
      </c>
      <c r="K14" s="214" t="s">
        <v>15</v>
      </c>
      <c r="L14" s="111"/>
      <c r="M14" s="49">
        <f t="shared" si="0"/>
        <v>1749</v>
      </c>
      <c r="N14" s="2"/>
      <c r="O14" s="237">
        <f t="shared" si="1"/>
        <v>1.749</v>
      </c>
      <c r="P14" s="2"/>
    </row>
    <row r="15" spans="1:16" ht="12.75">
      <c r="A15" s="236">
        <v>1971</v>
      </c>
      <c r="B15" s="2"/>
      <c r="C15" s="49">
        <v>2038</v>
      </c>
      <c r="D15" s="214" t="s">
        <v>15</v>
      </c>
      <c r="E15" s="214" t="s">
        <v>15</v>
      </c>
      <c r="F15" s="214" t="s">
        <v>15</v>
      </c>
      <c r="G15" s="214" t="s">
        <v>15</v>
      </c>
      <c r="H15" s="214" t="s">
        <v>15</v>
      </c>
      <c r="I15" s="214" t="s">
        <v>15</v>
      </c>
      <c r="J15" s="214" t="s">
        <v>15</v>
      </c>
      <c r="K15" s="214" t="s">
        <v>15</v>
      </c>
      <c r="L15" s="111"/>
      <c r="M15" s="49">
        <f t="shared" si="0"/>
        <v>2038</v>
      </c>
      <c r="N15" s="2"/>
      <c r="O15" s="237">
        <f t="shared" si="1"/>
        <v>2.038</v>
      </c>
      <c r="P15" s="2"/>
    </row>
    <row r="16" spans="1:16" ht="12.75">
      <c r="A16" s="236">
        <v>1972</v>
      </c>
      <c r="B16" s="2"/>
      <c r="C16" s="49">
        <v>1926</v>
      </c>
      <c r="D16" s="214" t="s">
        <v>15</v>
      </c>
      <c r="E16" s="214" t="s">
        <v>15</v>
      </c>
      <c r="F16" s="214" t="s">
        <v>15</v>
      </c>
      <c r="G16" s="214" t="s">
        <v>15</v>
      </c>
      <c r="H16" s="214" t="s">
        <v>15</v>
      </c>
      <c r="I16" s="214" t="s">
        <v>15</v>
      </c>
      <c r="J16" s="214" t="s">
        <v>15</v>
      </c>
      <c r="K16" s="214" t="s">
        <v>15</v>
      </c>
      <c r="L16" s="111"/>
      <c r="M16" s="49">
        <f t="shared" si="0"/>
        <v>1926</v>
      </c>
      <c r="N16" s="2"/>
      <c r="O16" s="237">
        <f t="shared" si="1"/>
        <v>1.926</v>
      </c>
      <c r="P16" s="2"/>
    </row>
    <row r="17" spans="1:16" ht="12.75">
      <c r="A17" s="236">
        <v>1973</v>
      </c>
      <c r="B17" s="2"/>
      <c r="C17" s="49">
        <v>1528</v>
      </c>
      <c r="D17" s="214" t="s">
        <v>15</v>
      </c>
      <c r="E17" s="214" t="s">
        <v>15</v>
      </c>
      <c r="F17" s="214" t="s">
        <v>15</v>
      </c>
      <c r="G17" s="214" t="s">
        <v>15</v>
      </c>
      <c r="H17" s="214" t="s">
        <v>15</v>
      </c>
      <c r="I17" s="214" t="s">
        <v>15</v>
      </c>
      <c r="J17" s="214" t="s">
        <v>15</v>
      </c>
      <c r="K17" s="214" t="s">
        <v>15</v>
      </c>
      <c r="L17" s="111"/>
      <c r="M17" s="49">
        <f t="shared" si="0"/>
        <v>1528</v>
      </c>
      <c r="N17" s="2"/>
      <c r="O17" s="237">
        <f t="shared" si="1"/>
        <v>1.528</v>
      </c>
      <c r="P17" s="2"/>
    </row>
    <row r="18" spans="1:16" ht="12.75">
      <c r="A18" s="236">
        <v>1974</v>
      </c>
      <c r="B18" s="2"/>
      <c r="C18" s="49">
        <v>1408</v>
      </c>
      <c r="D18" s="214" t="s">
        <v>15</v>
      </c>
      <c r="E18" s="214" t="s">
        <v>15</v>
      </c>
      <c r="F18" s="214" t="s">
        <v>15</v>
      </c>
      <c r="G18" s="214" t="s">
        <v>15</v>
      </c>
      <c r="H18" s="214" t="s">
        <v>15</v>
      </c>
      <c r="I18" s="214" t="s">
        <v>15</v>
      </c>
      <c r="J18" s="214" t="s">
        <v>15</v>
      </c>
      <c r="K18" s="214" t="s">
        <v>15</v>
      </c>
      <c r="L18" s="111"/>
      <c r="M18" s="49">
        <f t="shared" si="0"/>
        <v>1408</v>
      </c>
      <c r="N18" s="2"/>
      <c r="O18" s="237">
        <f t="shared" si="1"/>
        <v>1.408</v>
      </c>
      <c r="P18" s="2"/>
    </row>
    <row r="19" spans="1:16" ht="12.75">
      <c r="A19" s="236">
        <v>1975</v>
      </c>
      <c r="B19" s="2"/>
      <c r="C19" s="49">
        <v>1163</v>
      </c>
      <c r="D19" s="214" t="s">
        <v>15</v>
      </c>
      <c r="E19" s="214" t="s">
        <v>15</v>
      </c>
      <c r="F19" s="214" t="s">
        <v>15</v>
      </c>
      <c r="G19" s="214" t="s">
        <v>15</v>
      </c>
      <c r="H19" s="214" t="s">
        <v>15</v>
      </c>
      <c r="I19" s="214" t="s">
        <v>15</v>
      </c>
      <c r="J19" s="214" t="s">
        <v>15</v>
      </c>
      <c r="K19" s="214" t="s">
        <v>15</v>
      </c>
      <c r="L19" s="111"/>
      <c r="M19" s="49">
        <f t="shared" si="0"/>
        <v>1163</v>
      </c>
      <c r="N19" s="2"/>
      <c r="O19" s="237">
        <f t="shared" si="1"/>
        <v>1.163</v>
      </c>
      <c r="P19" s="2"/>
    </row>
    <row r="20" spans="1:16" ht="12.75">
      <c r="A20" s="236">
        <v>1976</v>
      </c>
      <c r="B20" s="2"/>
      <c r="C20" s="49">
        <v>1250</v>
      </c>
      <c r="D20" s="214" t="s">
        <v>15</v>
      </c>
      <c r="E20" s="214" t="s">
        <v>15</v>
      </c>
      <c r="F20" s="214" t="s">
        <v>15</v>
      </c>
      <c r="G20" s="214" t="s">
        <v>15</v>
      </c>
      <c r="H20" s="214" t="s">
        <v>15</v>
      </c>
      <c r="I20" s="214" t="s">
        <v>15</v>
      </c>
      <c r="J20" s="214" t="s">
        <v>15</v>
      </c>
      <c r="K20" s="214" t="s">
        <v>15</v>
      </c>
      <c r="L20" s="111"/>
      <c r="M20" s="49">
        <f t="shared" si="0"/>
        <v>1250</v>
      </c>
      <c r="N20" s="2"/>
      <c r="O20" s="237">
        <f t="shared" si="1"/>
        <v>1.25</v>
      </c>
      <c r="P20" s="2"/>
    </row>
    <row r="21" spans="1:16" ht="12.75">
      <c r="A21" s="236">
        <v>1977</v>
      </c>
      <c r="B21" s="2"/>
      <c r="C21" s="49">
        <v>897</v>
      </c>
      <c r="D21" s="214" t="s">
        <v>15</v>
      </c>
      <c r="E21" s="214" t="s">
        <v>15</v>
      </c>
      <c r="F21" s="214" t="s">
        <v>15</v>
      </c>
      <c r="G21" s="214" t="s">
        <v>15</v>
      </c>
      <c r="H21" s="214" t="s">
        <v>15</v>
      </c>
      <c r="I21" s="214" t="s">
        <v>15</v>
      </c>
      <c r="J21" s="214" t="s">
        <v>15</v>
      </c>
      <c r="K21" s="214" t="s">
        <v>15</v>
      </c>
      <c r="L21" s="111"/>
      <c r="M21" s="49">
        <f t="shared" si="0"/>
        <v>897</v>
      </c>
      <c r="N21" s="2"/>
      <c r="O21" s="237">
        <f t="shared" si="1"/>
        <v>0.897</v>
      </c>
      <c r="P21" s="2"/>
    </row>
    <row r="22" spans="1:16" ht="12.75">
      <c r="A22" s="236">
        <v>1978</v>
      </c>
      <c r="B22" s="2"/>
      <c r="C22" s="49">
        <v>537</v>
      </c>
      <c r="D22" s="214" t="s">
        <v>15</v>
      </c>
      <c r="E22" s="214" t="s">
        <v>15</v>
      </c>
      <c r="F22" s="214" t="s">
        <v>15</v>
      </c>
      <c r="G22" s="214" t="s">
        <v>15</v>
      </c>
      <c r="H22" s="214" t="s">
        <v>15</v>
      </c>
      <c r="I22" s="214" t="s">
        <v>15</v>
      </c>
      <c r="J22" s="214" t="s">
        <v>15</v>
      </c>
      <c r="K22" s="214" t="s">
        <v>15</v>
      </c>
      <c r="L22" s="111"/>
      <c r="M22" s="49">
        <f t="shared" si="0"/>
        <v>537</v>
      </c>
      <c r="N22" s="2"/>
      <c r="O22" s="237">
        <f t="shared" si="1"/>
        <v>0.537</v>
      </c>
      <c r="P22" s="2"/>
    </row>
    <row r="23" spans="1:16" ht="12.75">
      <c r="A23" s="236">
        <v>1979</v>
      </c>
      <c r="B23" s="2"/>
      <c r="C23" s="49">
        <v>618</v>
      </c>
      <c r="D23" s="214" t="s">
        <v>15</v>
      </c>
      <c r="E23" s="214" t="s">
        <v>15</v>
      </c>
      <c r="F23" s="214" t="s">
        <v>15</v>
      </c>
      <c r="G23" s="214" t="s">
        <v>15</v>
      </c>
      <c r="H23" s="214" t="s">
        <v>15</v>
      </c>
      <c r="I23" s="214" t="s">
        <v>15</v>
      </c>
      <c r="J23" s="214" t="s">
        <v>15</v>
      </c>
      <c r="K23" s="214" t="s">
        <v>15</v>
      </c>
      <c r="L23" s="111"/>
      <c r="M23" s="49">
        <f aca="true" t="shared" si="2" ref="M23:M38">SUM(C23:L23)</f>
        <v>618</v>
      </c>
      <c r="N23" s="2"/>
      <c r="O23" s="237">
        <f>M23/1000</f>
        <v>0.618</v>
      </c>
      <c r="P23" s="2"/>
    </row>
    <row r="24" spans="1:16" ht="12.75">
      <c r="A24" s="236">
        <v>1980</v>
      </c>
      <c r="B24" s="2"/>
      <c r="C24" s="49">
        <v>624</v>
      </c>
      <c r="D24" s="214" t="s">
        <v>15</v>
      </c>
      <c r="E24" s="214" t="s">
        <v>15</v>
      </c>
      <c r="F24" s="214" t="s">
        <v>15</v>
      </c>
      <c r="G24" s="214" t="s">
        <v>15</v>
      </c>
      <c r="H24" s="214" t="s">
        <v>15</v>
      </c>
      <c r="I24" s="214" t="s">
        <v>15</v>
      </c>
      <c r="J24" s="214" t="s">
        <v>15</v>
      </c>
      <c r="K24" s="214" t="s">
        <v>15</v>
      </c>
      <c r="L24" s="111"/>
      <c r="M24" s="49">
        <f t="shared" si="2"/>
        <v>624</v>
      </c>
      <c r="N24" s="2"/>
      <c r="O24" s="237">
        <f>M24/1000</f>
        <v>0.624</v>
      </c>
      <c r="P24" s="2"/>
    </row>
    <row r="25" spans="1:16" ht="12.75">
      <c r="A25" s="236">
        <v>1981</v>
      </c>
      <c r="B25" s="2"/>
      <c r="C25" s="49">
        <v>318</v>
      </c>
      <c r="D25" s="214" t="s">
        <v>15</v>
      </c>
      <c r="E25" s="214" t="s">
        <v>15</v>
      </c>
      <c r="F25" s="214" t="s">
        <v>15</v>
      </c>
      <c r="G25" s="214" t="s">
        <v>15</v>
      </c>
      <c r="H25" s="214" t="s">
        <v>15</v>
      </c>
      <c r="I25" s="214" t="s">
        <v>15</v>
      </c>
      <c r="J25" s="214" t="s">
        <v>15</v>
      </c>
      <c r="K25" s="214" t="s">
        <v>15</v>
      </c>
      <c r="L25" s="111"/>
      <c r="M25" s="49">
        <f t="shared" si="2"/>
        <v>318</v>
      </c>
      <c r="N25" s="2"/>
      <c r="O25" s="237">
        <f>M25/1000</f>
        <v>0.318</v>
      </c>
      <c r="P25" s="2"/>
    </row>
    <row r="26" spans="1:16" ht="12.75">
      <c r="A26" s="236">
        <v>1982</v>
      </c>
      <c r="B26" s="2"/>
      <c r="C26" s="214" t="s">
        <v>15</v>
      </c>
      <c r="D26" s="214" t="s">
        <v>15</v>
      </c>
      <c r="E26" s="214" t="s">
        <v>15</v>
      </c>
      <c r="F26" s="214" t="s">
        <v>15</v>
      </c>
      <c r="G26" s="214" t="s">
        <v>15</v>
      </c>
      <c r="H26" s="214" t="s">
        <v>15</v>
      </c>
      <c r="I26" s="214" t="s">
        <v>15</v>
      </c>
      <c r="J26" s="214" t="s">
        <v>15</v>
      </c>
      <c r="K26" s="214" t="s">
        <v>15</v>
      </c>
      <c r="L26" s="111"/>
      <c r="M26" s="49">
        <f t="shared" si="2"/>
        <v>0</v>
      </c>
      <c r="N26" s="2"/>
      <c r="O26" s="237">
        <f>M26/1000</f>
        <v>0</v>
      </c>
      <c r="P26" s="2"/>
    </row>
    <row r="27" spans="1:16" ht="12.75">
      <c r="A27" s="236">
        <v>1983</v>
      </c>
      <c r="B27" s="2"/>
      <c r="C27" s="214" t="s">
        <v>15</v>
      </c>
      <c r="D27" s="214" t="s">
        <v>15</v>
      </c>
      <c r="E27" s="214" t="s">
        <v>15</v>
      </c>
      <c r="F27" s="214" t="s">
        <v>15</v>
      </c>
      <c r="G27" s="214" t="s">
        <v>15</v>
      </c>
      <c r="H27" s="214" t="s">
        <v>15</v>
      </c>
      <c r="I27" s="214" t="s">
        <v>15</v>
      </c>
      <c r="J27" s="214" t="s">
        <v>15</v>
      </c>
      <c r="K27" s="214" t="s">
        <v>15</v>
      </c>
      <c r="L27" s="111"/>
      <c r="M27" s="49">
        <f t="shared" si="2"/>
        <v>0</v>
      </c>
      <c r="N27" s="2"/>
      <c r="O27" s="237">
        <f>M27/1000</f>
        <v>0</v>
      </c>
      <c r="P27" s="2"/>
    </row>
    <row r="28" spans="1:16" ht="12.75">
      <c r="A28" s="236">
        <v>1984</v>
      </c>
      <c r="B28" s="2"/>
      <c r="C28" s="214" t="s">
        <v>15</v>
      </c>
      <c r="D28" s="49">
        <v>172441</v>
      </c>
      <c r="E28" s="214" t="s">
        <v>15</v>
      </c>
      <c r="F28" s="214" t="s">
        <v>15</v>
      </c>
      <c r="G28" s="214" t="s">
        <v>15</v>
      </c>
      <c r="H28" s="214" t="s">
        <v>15</v>
      </c>
      <c r="I28" s="214" t="s">
        <v>15</v>
      </c>
      <c r="J28" s="214" t="s">
        <v>15</v>
      </c>
      <c r="K28" s="214" t="s">
        <v>15</v>
      </c>
      <c r="L28" s="111"/>
      <c r="M28" s="49">
        <f t="shared" si="2"/>
        <v>172441</v>
      </c>
      <c r="N28" s="2"/>
      <c r="O28" s="237">
        <v>164</v>
      </c>
      <c r="P28" s="2"/>
    </row>
    <row r="29" spans="1:16" ht="12.75">
      <c r="A29" s="236">
        <v>1985</v>
      </c>
      <c r="B29" s="2"/>
      <c r="C29" s="214" t="s">
        <v>15</v>
      </c>
      <c r="D29" s="49">
        <v>269028</v>
      </c>
      <c r="E29" s="214" t="s">
        <v>15</v>
      </c>
      <c r="F29" s="214" t="s">
        <v>15</v>
      </c>
      <c r="G29" s="214" t="s">
        <v>15</v>
      </c>
      <c r="H29" s="214" t="s">
        <v>15</v>
      </c>
      <c r="I29" s="214" t="s">
        <v>15</v>
      </c>
      <c r="J29" s="214" t="s">
        <v>15</v>
      </c>
      <c r="K29" s="214" t="s">
        <v>15</v>
      </c>
      <c r="L29" s="111"/>
      <c r="M29" s="49">
        <f t="shared" si="2"/>
        <v>269028</v>
      </c>
      <c r="N29" s="2"/>
      <c r="O29" s="237">
        <v>230</v>
      </c>
      <c r="P29" s="2"/>
    </row>
    <row r="30" spans="1:16" ht="12.75">
      <c r="A30" s="236">
        <v>1986</v>
      </c>
      <c r="B30" s="2"/>
      <c r="C30" s="214" t="s">
        <v>15</v>
      </c>
      <c r="D30" s="49">
        <v>206094</v>
      </c>
      <c r="E30" s="49">
        <v>169708</v>
      </c>
      <c r="F30" s="214" t="s">
        <v>15</v>
      </c>
      <c r="G30" s="214" t="s">
        <v>15</v>
      </c>
      <c r="H30" s="214" t="s">
        <v>15</v>
      </c>
      <c r="I30" s="214" t="s">
        <v>15</v>
      </c>
      <c r="J30" s="214" t="s">
        <v>15</v>
      </c>
      <c r="K30" s="214" t="s">
        <v>15</v>
      </c>
      <c r="L30" s="111"/>
      <c r="M30" s="49">
        <f t="shared" si="2"/>
        <v>375802</v>
      </c>
      <c r="N30" s="2"/>
      <c r="O30" s="237">
        <v>321</v>
      </c>
      <c r="P30" s="2"/>
    </row>
    <row r="31" spans="1:16" ht="12.75">
      <c r="A31" s="236">
        <v>1987</v>
      </c>
      <c r="B31" s="2"/>
      <c r="C31" s="214" t="s">
        <v>15</v>
      </c>
      <c r="D31" s="49">
        <v>180718</v>
      </c>
      <c r="E31" s="49">
        <v>555376</v>
      </c>
      <c r="F31" s="214" t="s">
        <v>15</v>
      </c>
      <c r="G31" s="214" t="s">
        <v>15</v>
      </c>
      <c r="H31" s="214" t="s">
        <v>15</v>
      </c>
      <c r="I31" s="214" t="s">
        <v>15</v>
      </c>
      <c r="J31" s="214" t="s">
        <v>15</v>
      </c>
      <c r="K31" s="214" t="s">
        <v>15</v>
      </c>
      <c r="L31" s="111"/>
      <c r="M31" s="49">
        <f t="shared" si="2"/>
        <v>736094</v>
      </c>
      <c r="N31" s="2"/>
      <c r="O31" s="237">
        <v>696</v>
      </c>
      <c r="P31" s="2"/>
    </row>
    <row r="32" spans="1:16" ht="12.75">
      <c r="A32" s="236">
        <v>1988</v>
      </c>
      <c r="B32" s="2"/>
      <c r="C32" s="214" t="s">
        <v>15</v>
      </c>
      <c r="D32" s="49">
        <v>89077</v>
      </c>
      <c r="E32" s="49">
        <v>831633</v>
      </c>
      <c r="F32" s="214" t="s">
        <v>15</v>
      </c>
      <c r="G32" s="214" t="s">
        <v>15</v>
      </c>
      <c r="H32" s="214" t="s">
        <v>15</v>
      </c>
      <c r="I32" s="214" t="s">
        <v>15</v>
      </c>
      <c r="J32" s="214" t="s">
        <v>15</v>
      </c>
      <c r="K32" s="214" t="s">
        <v>15</v>
      </c>
      <c r="L32" s="111"/>
      <c r="M32" s="49">
        <f t="shared" si="2"/>
        <v>920710</v>
      </c>
      <c r="N32" s="2"/>
      <c r="O32" s="237">
        <v>910</v>
      </c>
      <c r="P32" s="2"/>
    </row>
    <row r="33" spans="1:16" ht="12.75">
      <c r="A33" s="236">
        <v>1989</v>
      </c>
      <c r="B33" s="2"/>
      <c r="C33" s="214" t="s">
        <v>15</v>
      </c>
      <c r="D33" s="49">
        <v>13419</v>
      </c>
      <c r="E33" s="49">
        <v>1521230</v>
      </c>
      <c r="F33" s="214" t="s">
        <v>15</v>
      </c>
      <c r="G33" s="214" t="s">
        <v>15</v>
      </c>
      <c r="H33" s="214" t="s">
        <v>15</v>
      </c>
      <c r="I33" s="214" t="s">
        <v>15</v>
      </c>
      <c r="J33" s="214" t="s">
        <v>15</v>
      </c>
      <c r="K33" s="214" t="s">
        <v>15</v>
      </c>
      <c r="L33" s="111"/>
      <c r="M33" s="49">
        <f t="shared" si="2"/>
        <v>1534649</v>
      </c>
      <c r="N33" s="2"/>
      <c r="O33" s="237">
        <v>1527</v>
      </c>
      <c r="P33" s="2"/>
    </row>
    <row r="34" spans="1:16" ht="12.75">
      <c r="A34" s="236">
        <v>1990</v>
      </c>
      <c r="B34" s="2"/>
      <c r="C34" s="214" t="s">
        <v>15</v>
      </c>
      <c r="D34" s="214" t="s">
        <v>15</v>
      </c>
      <c r="E34" s="49">
        <v>1258578</v>
      </c>
      <c r="F34" s="49">
        <v>56114</v>
      </c>
      <c r="G34" s="214" t="s">
        <v>15</v>
      </c>
      <c r="H34" s="214" t="s">
        <v>15</v>
      </c>
      <c r="I34" s="214" t="s">
        <v>15</v>
      </c>
      <c r="J34" s="214" t="s">
        <v>15</v>
      </c>
      <c r="K34" s="214" t="s">
        <v>15</v>
      </c>
      <c r="L34" s="111"/>
      <c r="M34" s="49">
        <f t="shared" si="2"/>
        <v>1314692</v>
      </c>
      <c r="N34" s="2"/>
      <c r="O34" s="237">
        <v>1182.8</v>
      </c>
      <c r="P34" s="2"/>
    </row>
    <row r="35" spans="1:16" ht="12.75">
      <c r="A35" s="236">
        <v>1991</v>
      </c>
      <c r="B35" s="2"/>
      <c r="C35" s="214" t="s">
        <v>15</v>
      </c>
      <c r="D35" s="214" t="s">
        <v>15</v>
      </c>
      <c r="E35" s="49">
        <v>1218786</v>
      </c>
      <c r="F35" s="49">
        <v>108867</v>
      </c>
      <c r="G35" s="214" t="s">
        <v>15</v>
      </c>
      <c r="H35" s="214" t="s">
        <v>15</v>
      </c>
      <c r="I35" s="214" t="s">
        <v>15</v>
      </c>
      <c r="J35" s="214" t="s">
        <v>15</v>
      </c>
      <c r="K35" s="214" t="s">
        <v>15</v>
      </c>
      <c r="L35" s="111"/>
      <c r="M35" s="49">
        <f t="shared" si="2"/>
        <v>1327653</v>
      </c>
      <c r="N35" s="2"/>
      <c r="O35" s="237">
        <v>1191.9</v>
      </c>
      <c r="P35" s="2"/>
    </row>
    <row r="36" spans="1:16" ht="12.75">
      <c r="A36" s="236">
        <v>1992</v>
      </c>
      <c r="B36" s="2"/>
      <c r="C36" s="214" t="s">
        <v>15</v>
      </c>
      <c r="D36" s="214" t="s">
        <v>15</v>
      </c>
      <c r="E36" s="49">
        <v>1074751</v>
      </c>
      <c r="F36" s="49">
        <v>145381</v>
      </c>
      <c r="G36" s="214" t="s">
        <v>15</v>
      </c>
      <c r="H36" s="214" t="s">
        <v>15</v>
      </c>
      <c r="I36" s="214" t="s">
        <v>15</v>
      </c>
      <c r="J36" s="214" t="s">
        <v>15</v>
      </c>
      <c r="K36" s="214" t="s">
        <v>15</v>
      </c>
      <c r="L36" s="111"/>
      <c r="M36" s="49">
        <f t="shared" si="2"/>
        <v>1220132</v>
      </c>
      <c r="N36" s="2"/>
      <c r="O36" s="237">
        <v>1090.9</v>
      </c>
      <c r="P36" s="2"/>
    </row>
    <row r="37" spans="1:16" ht="12.75">
      <c r="A37" s="236">
        <v>1993</v>
      </c>
      <c r="B37" s="2"/>
      <c r="C37" s="214" t="s">
        <v>15</v>
      </c>
      <c r="D37" s="214" t="s">
        <v>15</v>
      </c>
      <c r="E37" s="49">
        <v>509648</v>
      </c>
      <c r="F37" s="49">
        <v>123540</v>
      </c>
      <c r="G37" s="214" t="s">
        <v>15</v>
      </c>
      <c r="H37" s="214" t="s">
        <v>15</v>
      </c>
      <c r="I37" s="214" t="s">
        <v>15</v>
      </c>
      <c r="J37" s="214" t="s">
        <v>15</v>
      </c>
      <c r="K37" s="214" t="s">
        <v>15</v>
      </c>
      <c r="L37" s="111"/>
      <c r="M37" s="49">
        <f t="shared" si="2"/>
        <v>633188</v>
      </c>
      <c r="N37" s="2"/>
      <c r="O37" s="237">
        <v>563.7</v>
      </c>
      <c r="P37" s="2"/>
    </row>
    <row r="38" spans="1:16" ht="12.75">
      <c r="A38" s="236">
        <v>1994</v>
      </c>
      <c r="B38" s="2"/>
      <c r="C38" s="214" t="s">
        <v>15</v>
      </c>
      <c r="D38" s="214" t="s">
        <v>15</v>
      </c>
      <c r="E38" s="49">
        <v>120853</v>
      </c>
      <c r="F38" s="49">
        <v>75442</v>
      </c>
      <c r="G38" s="214" t="s">
        <v>15</v>
      </c>
      <c r="H38" s="214" t="s">
        <v>15</v>
      </c>
      <c r="I38" s="214" t="s">
        <v>15</v>
      </c>
      <c r="J38" s="214" t="s">
        <v>15</v>
      </c>
      <c r="K38" s="214" t="s">
        <v>15</v>
      </c>
      <c r="L38" s="111"/>
      <c r="M38" s="49">
        <f t="shared" si="2"/>
        <v>196295</v>
      </c>
      <c r="N38" s="2"/>
      <c r="O38" s="237">
        <v>172.9</v>
      </c>
      <c r="P38" s="2"/>
    </row>
    <row r="39" spans="1:16" ht="12.75">
      <c r="A39" s="236">
        <v>1995</v>
      </c>
      <c r="B39" s="2"/>
      <c r="C39" s="214" t="s">
        <v>15</v>
      </c>
      <c r="D39" s="214" t="s">
        <v>15</v>
      </c>
      <c r="E39" s="49">
        <v>25142</v>
      </c>
      <c r="F39" s="49">
        <v>68164</v>
      </c>
      <c r="G39" s="49">
        <v>317375</v>
      </c>
      <c r="H39" s="214" t="s">
        <v>15</v>
      </c>
      <c r="I39" s="214" t="s">
        <v>15</v>
      </c>
      <c r="J39" s="214" t="s">
        <v>15</v>
      </c>
      <c r="K39" s="214" t="s">
        <v>15</v>
      </c>
      <c r="L39" s="111"/>
      <c r="M39" s="49">
        <f aca="true" t="shared" si="3" ref="M39:M48">SUM(C39:L39)</f>
        <v>410681</v>
      </c>
      <c r="N39" s="2"/>
      <c r="O39" s="237">
        <v>366.2</v>
      </c>
      <c r="P39" s="2"/>
    </row>
    <row r="40" spans="1:16" ht="12.75">
      <c r="A40" s="236">
        <v>1996</v>
      </c>
      <c r="B40" s="2"/>
      <c r="C40" s="214" t="s">
        <v>15</v>
      </c>
      <c r="D40" s="214" t="s">
        <v>15</v>
      </c>
      <c r="E40" s="214" t="s">
        <v>15</v>
      </c>
      <c r="F40" s="49">
        <v>51346</v>
      </c>
      <c r="G40" s="49">
        <v>407383</v>
      </c>
      <c r="H40" s="214" t="s">
        <v>15</v>
      </c>
      <c r="I40" s="214" t="s">
        <v>15</v>
      </c>
      <c r="J40" s="214" t="s">
        <v>15</v>
      </c>
      <c r="K40" s="214" t="s">
        <v>15</v>
      </c>
      <c r="L40" s="111"/>
      <c r="M40" s="49">
        <f t="shared" si="3"/>
        <v>458729</v>
      </c>
      <c r="N40" s="2"/>
      <c r="O40" s="237">
        <v>410.3</v>
      </c>
      <c r="P40" s="2"/>
    </row>
    <row r="41" spans="1:16" ht="12.75">
      <c r="A41" s="318">
        <v>1997</v>
      </c>
      <c r="B41" s="2"/>
      <c r="C41" s="319" t="s">
        <v>15</v>
      </c>
      <c r="D41" s="319" t="s">
        <v>15</v>
      </c>
      <c r="E41" s="319" t="s">
        <v>15</v>
      </c>
      <c r="F41" s="112">
        <v>81941</v>
      </c>
      <c r="G41" s="112">
        <v>4030</v>
      </c>
      <c r="H41" s="112">
        <v>86322</v>
      </c>
      <c r="I41" s="214" t="s">
        <v>15</v>
      </c>
      <c r="J41" s="214" t="s">
        <v>15</v>
      </c>
      <c r="K41" s="214" t="s">
        <v>15</v>
      </c>
      <c r="L41" s="112"/>
      <c r="M41" s="49">
        <f t="shared" si="3"/>
        <v>172293</v>
      </c>
      <c r="N41" s="2"/>
      <c r="O41" s="304">
        <v>146.4</v>
      </c>
      <c r="P41" s="2"/>
    </row>
    <row r="42" spans="1:16" ht="12.75">
      <c r="A42" s="236">
        <v>1998</v>
      </c>
      <c r="B42" s="2"/>
      <c r="C42" s="319" t="s">
        <v>15</v>
      </c>
      <c r="D42" s="319" t="s">
        <v>15</v>
      </c>
      <c r="E42" s="319" t="s">
        <v>15</v>
      </c>
      <c r="F42" s="112">
        <v>68988</v>
      </c>
      <c r="G42" s="319" t="s">
        <v>15</v>
      </c>
      <c r="H42" s="214">
        <v>40147</v>
      </c>
      <c r="I42" s="214" t="s">
        <v>15</v>
      </c>
      <c r="J42" s="214" t="s">
        <v>15</v>
      </c>
      <c r="K42" s="214" t="s">
        <v>15</v>
      </c>
      <c r="L42" s="49"/>
      <c r="M42" s="49">
        <f t="shared" si="3"/>
        <v>109135</v>
      </c>
      <c r="N42" s="57"/>
      <c r="O42" s="304">
        <v>93</v>
      </c>
      <c r="P42" s="2"/>
    </row>
    <row r="43" spans="1:16" ht="12.75">
      <c r="A43" s="337">
        <v>1999</v>
      </c>
      <c r="B43" s="2"/>
      <c r="C43" s="338" t="s">
        <v>15</v>
      </c>
      <c r="D43" s="338" t="s">
        <v>15</v>
      </c>
      <c r="E43" s="338" t="s">
        <v>15</v>
      </c>
      <c r="F43" s="312">
        <v>69584</v>
      </c>
      <c r="G43" s="338" t="s">
        <v>15</v>
      </c>
      <c r="H43" s="316">
        <v>57539</v>
      </c>
      <c r="I43" s="316">
        <v>9974</v>
      </c>
      <c r="J43" s="316">
        <v>7627</v>
      </c>
      <c r="K43" s="214" t="s">
        <v>15</v>
      </c>
      <c r="L43" s="315"/>
      <c r="M43" s="315">
        <f t="shared" si="3"/>
        <v>144724</v>
      </c>
      <c r="N43" s="57"/>
      <c r="O43" s="339">
        <f aca="true" t="shared" si="4" ref="O43:O48">ROUND(M43*0.00085,1)</f>
        <v>123</v>
      </c>
      <c r="P43" s="2"/>
    </row>
    <row r="44" spans="1:16" ht="12.75">
      <c r="A44" s="337">
        <v>2000</v>
      </c>
      <c r="B44" s="2"/>
      <c r="C44" s="338" t="s">
        <v>15</v>
      </c>
      <c r="D44" s="338" t="s">
        <v>15</v>
      </c>
      <c r="E44" s="338" t="s">
        <v>15</v>
      </c>
      <c r="F44" s="312">
        <v>63975</v>
      </c>
      <c r="G44" s="338" t="s">
        <v>15</v>
      </c>
      <c r="H44" s="316">
        <v>89859</v>
      </c>
      <c r="I44" s="316">
        <v>6595</v>
      </c>
      <c r="J44" s="316">
        <v>14107</v>
      </c>
      <c r="K44" s="214" t="s">
        <v>15</v>
      </c>
      <c r="L44" s="315"/>
      <c r="M44" s="315">
        <f t="shared" si="3"/>
        <v>174536</v>
      </c>
      <c r="N44" s="57"/>
      <c r="O44" s="339">
        <f t="shared" si="4"/>
        <v>148.4</v>
      </c>
      <c r="P44" s="2"/>
    </row>
    <row r="45" spans="1:15" ht="12.75">
      <c r="A45" s="337">
        <v>2001</v>
      </c>
      <c r="B45" s="2"/>
      <c r="C45" s="338" t="s">
        <v>15</v>
      </c>
      <c r="D45" s="338" t="s">
        <v>15</v>
      </c>
      <c r="E45" s="338" t="s">
        <v>15</v>
      </c>
      <c r="F45" s="312">
        <v>38721</v>
      </c>
      <c r="G45" s="338" t="s">
        <v>15</v>
      </c>
      <c r="H45" s="316">
        <v>492551</v>
      </c>
      <c r="I45" s="316">
        <v>6999</v>
      </c>
      <c r="J45" s="316">
        <v>13920</v>
      </c>
      <c r="K45" s="214" t="s">
        <v>15</v>
      </c>
      <c r="L45" s="315"/>
      <c r="M45" s="315">
        <f t="shared" si="3"/>
        <v>552191</v>
      </c>
      <c r="N45" s="57"/>
      <c r="O45" s="339">
        <f t="shared" si="4"/>
        <v>469.4</v>
      </c>
    </row>
    <row r="46" spans="1:15" ht="12.75">
      <c r="A46" s="404">
        <v>2002</v>
      </c>
      <c r="B46" s="2"/>
      <c r="C46" s="338" t="s">
        <v>15</v>
      </c>
      <c r="D46" s="338" t="s">
        <v>15</v>
      </c>
      <c r="E46" s="338" t="s">
        <v>15</v>
      </c>
      <c r="F46" s="312">
        <v>24290</v>
      </c>
      <c r="G46" s="338" t="s">
        <v>15</v>
      </c>
      <c r="H46" s="316">
        <v>503713</v>
      </c>
      <c r="I46" s="316">
        <v>6197</v>
      </c>
      <c r="J46" s="316">
        <v>11304</v>
      </c>
      <c r="K46" s="316">
        <v>12112</v>
      </c>
      <c r="L46" s="315"/>
      <c r="M46" s="315">
        <f t="shared" si="3"/>
        <v>557616</v>
      </c>
      <c r="N46" s="57"/>
      <c r="O46" s="339">
        <f t="shared" si="4"/>
        <v>474</v>
      </c>
    </row>
    <row r="47" spans="1:15" ht="12.75">
      <c r="A47" s="404">
        <v>2003</v>
      </c>
      <c r="B47" s="2"/>
      <c r="C47" s="338" t="s">
        <v>15</v>
      </c>
      <c r="D47" s="338" t="s">
        <v>15</v>
      </c>
      <c r="E47" s="338" t="s">
        <v>15</v>
      </c>
      <c r="F47" s="312">
        <v>51281</v>
      </c>
      <c r="G47" s="338" t="s">
        <v>15</v>
      </c>
      <c r="H47" s="316">
        <v>177933</v>
      </c>
      <c r="I47" s="316">
        <v>5377</v>
      </c>
      <c r="J47" s="316">
        <v>12948</v>
      </c>
      <c r="K47" s="316">
        <v>15845</v>
      </c>
      <c r="L47" s="315"/>
      <c r="M47" s="315">
        <f t="shared" si="3"/>
        <v>263384</v>
      </c>
      <c r="N47" s="57"/>
      <c r="O47" s="339">
        <f t="shared" si="4"/>
        <v>223.9</v>
      </c>
    </row>
    <row r="48" spans="1:15" ht="12.75">
      <c r="A48" s="406">
        <v>2004</v>
      </c>
      <c r="B48" s="2"/>
      <c r="C48" s="306" t="s">
        <v>15</v>
      </c>
      <c r="D48" s="306" t="s">
        <v>15</v>
      </c>
      <c r="E48" s="306" t="s">
        <v>15</v>
      </c>
      <c r="F48" s="2">
        <v>19795</v>
      </c>
      <c r="G48" s="306" t="s">
        <v>15</v>
      </c>
      <c r="H48" s="2">
        <v>316477</v>
      </c>
      <c r="I48" s="2">
        <v>5452</v>
      </c>
      <c r="J48" s="2">
        <v>6321</v>
      </c>
      <c r="K48" s="2">
        <v>16819</v>
      </c>
      <c r="L48" s="2"/>
      <c r="M48" s="407">
        <f t="shared" si="3"/>
        <v>364864</v>
      </c>
      <c r="N48" s="2"/>
      <c r="O48" s="408">
        <f t="shared" si="4"/>
        <v>310.1</v>
      </c>
    </row>
    <row r="49" spans="1:15" ht="13.5" thickBot="1">
      <c r="A49" s="326">
        <v>2005</v>
      </c>
      <c r="B49" s="401"/>
      <c r="C49" s="402" t="s">
        <v>15</v>
      </c>
      <c r="D49" s="402" t="s">
        <v>15</v>
      </c>
      <c r="E49" s="402" t="s">
        <v>15</v>
      </c>
      <c r="F49" s="401">
        <v>6372</v>
      </c>
      <c r="G49" s="402" t="s">
        <v>15</v>
      </c>
      <c r="H49" s="401">
        <v>140775</v>
      </c>
      <c r="I49" s="401">
        <v>4350</v>
      </c>
      <c r="J49" s="401">
        <v>3353</v>
      </c>
      <c r="K49" s="401">
        <v>16262</v>
      </c>
      <c r="L49" s="401"/>
      <c r="M49" s="405">
        <v>171113</v>
      </c>
      <c r="N49" s="401"/>
      <c r="O49" s="340">
        <f>ROUND(M49*0.00085,1)</f>
        <v>145.4</v>
      </c>
    </row>
    <row r="50" spans="1:15" ht="13.5" thickTop="1">
      <c r="A50" s="205"/>
      <c r="B50" s="2"/>
      <c r="C50" s="306"/>
      <c r="D50" s="306"/>
      <c r="E50" s="306"/>
      <c r="F50" s="2"/>
      <c r="G50" s="2"/>
      <c r="H50" s="2"/>
      <c r="I50" s="2"/>
      <c r="J50" s="2"/>
      <c r="K50" s="2"/>
      <c r="L50" s="2"/>
      <c r="M50" s="3"/>
      <c r="N50" s="2"/>
      <c r="O50" s="57"/>
    </row>
    <row r="123" ht="12.75">
      <c r="A123" s="206"/>
    </row>
  </sheetData>
  <printOptions horizontalCentered="1"/>
  <pageMargins left="0.3937007874015748" right="0.3937007874015748" top="0.3937007874015748" bottom="0.5905511811023623" header="0.1968503937007874" footer="0.1968503937007874"/>
  <pageSetup fitToHeight="1" fitToWidth="1" horizontalDpi="300" verticalDpi="300" orientation="landscape" paperSize="9" scale="84" r:id="rId2"/>
  <headerFooter alignWithMargins="0">
    <oddFooter>&amp;C&amp;9 3.10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workbookViewId="0" topLeftCell="A1">
      <pane ySplit="5" topLeftCell="BM18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7.7109375" style="209" customWidth="1"/>
    <col min="2" max="2" width="1.7109375" style="56" customWidth="1"/>
    <col min="3" max="3" width="45.7109375" style="56" customWidth="1"/>
    <col min="4" max="4" width="1.7109375" style="56" customWidth="1"/>
    <col min="5" max="5" width="45.7109375" style="56" customWidth="1"/>
    <col min="6" max="6" width="1.7109375" style="56" customWidth="1"/>
    <col min="7" max="7" width="45.7109375" style="56" customWidth="1"/>
    <col min="8" max="16384" width="12.57421875" style="56" customWidth="1"/>
  </cols>
  <sheetData>
    <row r="1" spans="1:2" ht="15.75">
      <c r="A1" s="240" t="s">
        <v>69</v>
      </c>
      <c r="B1" s="241" t="s">
        <v>138</v>
      </c>
    </row>
    <row r="2" spans="1:2" ht="15.75">
      <c r="A2"/>
      <c r="B2" s="242"/>
    </row>
    <row r="3" ht="13.5" thickBot="1"/>
    <row r="4" spans="1:7" ht="13.5" thickTop="1">
      <c r="A4" s="244" t="s">
        <v>61</v>
      </c>
      <c r="B4" s="238"/>
      <c r="C4" s="239" t="s">
        <v>139</v>
      </c>
      <c r="D4" s="238"/>
      <c r="E4" s="239" t="s">
        <v>70</v>
      </c>
      <c r="F4" s="238"/>
      <c r="G4" s="245" t="s">
        <v>14</v>
      </c>
    </row>
    <row r="5" spans="1:7" ht="12.75">
      <c r="A5" s="224" t="s">
        <v>62</v>
      </c>
      <c r="B5" s="228"/>
      <c r="C5" s="229" t="s">
        <v>166</v>
      </c>
      <c r="D5" s="228"/>
      <c r="E5" s="229" t="s">
        <v>167</v>
      </c>
      <c r="F5" s="228"/>
      <c r="G5" s="235" t="s">
        <v>167</v>
      </c>
    </row>
    <row r="6" spans="1:7" ht="12.75">
      <c r="A6" s="226">
        <v>1963</v>
      </c>
      <c r="B6" s="70"/>
      <c r="C6" s="243">
        <v>0</v>
      </c>
      <c r="D6" s="60"/>
      <c r="E6" s="156">
        <v>3.816</v>
      </c>
      <c r="F6" s="60"/>
      <c r="G6" s="237">
        <f>C6+E6</f>
        <v>3.816</v>
      </c>
    </row>
    <row r="7" spans="1:7" ht="12.75">
      <c r="A7" s="226">
        <v>1964</v>
      </c>
      <c r="B7" s="76"/>
      <c r="C7" s="243">
        <v>0</v>
      </c>
      <c r="D7" s="5"/>
      <c r="E7" s="156">
        <v>2.475</v>
      </c>
      <c r="F7" s="5"/>
      <c r="G7" s="237">
        <f aca="true" t="shared" si="0" ref="G7:G22">E7+C7</f>
        <v>2.475</v>
      </c>
    </row>
    <row r="8" spans="1:7" ht="12.75">
      <c r="A8" s="226">
        <v>1965</v>
      </c>
      <c r="B8" s="76"/>
      <c r="C8" s="243">
        <v>0</v>
      </c>
      <c r="D8" s="5"/>
      <c r="E8" s="156">
        <v>2.474</v>
      </c>
      <c r="F8" s="5"/>
      <c r="G8" s="237">
        <f t="shared" si="0"/>
        <v>2.474</v>
      </c>
    </row>
    <row r="9" spans="1:7" ht="12.75">
      <c r="A9" s="226">
        <v>1966</v>
      </c>
      <c r="B9" s="76"/>
      <c r="C9" s="156">
        <v>4</v>
      </c>
      <c r="D9" s="5"/>
      <c r="E9" s="156">
        <v>2.475</v>
      </c>
      <c r="F9" s="5"/>
      <c r="G9" s="237">
        <f t="shared" si="0"/>
        <v>6.475</v>
      </c>
    </row>
    <row r="10" spans="1:7" ht="12.75">
      <c r="A10" s="226">
        <v>1967</v>
      </c>
      <c r="B10" s="76"/>
      <c r="C10" s="156">
        <v>110</v>
      </c>
      <c r="D10" s="5"/>
      <c r="E10" s="156">
        <v>2.475</v>
      </c>
      <c r="F10" s="5"/>
      <c r="G10" s="237">
        <f t="shared" si="0"/>
        <v>112.475</v>
      </c>
    </row>
    <row r="11" spans="1:7" ht="12.75">
      <c r="A11" s="226">
        <v>1968</v>
      </c>
      <c r="B11" s="76"/>
      <c r="C11" s="156">
        <v>110</v>
      </c>
      <c r="D11" s="5"/>
      <c r="E11" s="156">
        <v>2.474</v>
      </c>
      <c r="F11" s="5"/>
      <c r="G11" s="237">
        <f t="shared" si="0"/>
        <v>112.474</v>
      </c>
    </row>
    <row r="12" spans="1:7" ht="12.75">
      <c r="A12" s="226">
        <v>1969</v>
      </c>
      <c r="B12" s="76"/>
      <c r="C12" s="156">
        <v>193</v>
      </c>
      <c r="D12" s="5"/>
      <c r="E12" s="156">
        <v>2.476</v>
      </c>
      <c r="F12" s="5"/>
      <c r="G12" s="237">
        <f t="shared" si="0"/>
        <v>195.476</v>
      </c>
    </row>
    <row r="13" spans="1:7" ht="12.75">
      <c r="A13" s="226">
        <v>1970</v>
      </c>
      <c r="B13" s="76"/>
      <c r="C13" s="156">
        <v>156</v>
      </c>
      <c r="D13" s="5"/>
      <c r="E13" s="156">
        <v>1.749</v>
      </c>
      <c r="F13" s="5"/>
      <c r="G13" s="237">
        <f t="shared" si="0"/>
        <v>157.749</v>
      </c>
    </row>
    <row r="14" spans="1:7" ht="12.75">
      <c r="A14" s="226">
        <v>1971</v>
      </c>
      <c r="B14" s="76"/>
      <c r="C14" s="156">
        <v>126</v>
      </c>
      <c r="D14" s="5"/>
      <c r="E14" s="156">
        <v>2.038</v>
      </c>
      <c r="F14" s="5"/>
      <c r="G14" s="237">
        <f t="shared" si="0"/>
        <v>128.038</v>
      </c>
    </row>
    <row r="15" spans="1:7" ht="12.75">
      <c r="A15" s="226">
        <v>1972</v>
      </c>
      <c r="B15" s="76"/>
      <c r="C15" s="156">
        <v>138</v>
      </c>
      <c r="D15" s="5"/>
      <c r="E15" s="156">
        <v>1.926</v>
      </c>
      <c r="F15" s="5"/>
      <c r="G15" s="237">
        <f t="shared" si="0"/>
        <v>139.926</v>
      </c>
    </row>
    <row r="16" spans="1:7" ht="12.75">
      <c r="A16" s="226">
        <v>1973</v>
      </c>
      <c r="B16" s="76"/>
      <c r="C16" s="156">
        <v>764</v>
      </c>
      <c r="D16" s="5"/>
      <c r="E16" s="156">
        <v>1.528</v>
      </c>
      <c r="F16" s="5"/>
      <c r="G16" s="237">
        <f t="shared" si="0"/>
        <v>765.528</v>
      </c>
    </row>
    <row r="17" spans="1:7" ht="12.75">
      <c r="A17" s="226">
        <v>1974</v>
      </c>
      <c r="B17" s="76"/>
      <c r="C17" s="156">
        <v>1976</v>
      </c>
      <c r="D17" s="5"/>
      <c r="E17" s="156">
        <v>1.408</v>
      </c>
      <c r="F17" s="5"/>
      <c r="G17" s="237">
        <f t="shared" si="0"/>
        <v>1977.408</v>
      </c>
    </row>
    <row r="18" spans="1:7" ht="12.75">
      <c r="A18" s="226">
        <v>1975</v>
      </c>
      <c r="B18" s="76"/>
      <c r="C18" s="156">
        <v>2027</v>
      </c>
      <c r="D18" s="5"/>
      <c r="E18" s="156">
        <v>1.163</v>
      </c>
      <c r="F18" s="5"/>
      <c r="G18" s="237">
        <f t="shared" si="0"/>
        <v>2028.163</v>
      </c>
    </row>
    <row r="19" spans="1:7" ht="12.75">
      <c r="A19" s="226">
        <v>1976</v>
      </c>
      <c r="B19" s="76"/>
      <c r="C19" s="156">
        <v>1772</v>
      </c>
      <c r="D19" s="5"/>
      <c r="E19" s="156">
        <v>1.25</v>
      </c>
      <c r="F19" s="5"/>
      <c r="G19" s="237">
        <f t="shared" si="0"/>
        <v>1773.25</v>
      </c>
    </row>
    <row r="20" spans="1:7" ht="12.75">
      <c r="A20" s="226">
        <v>1977</v>
      </c>
      <c r="B20" s="76"/>
      <c r="C20" s="156">
        <v>982</v>
      </c>
      <c r="D20" s="5"/>
      <c r="E20" s="156">
        <v>0.897</v>
      </c>
      <c r="F20" s="5"/>
      <c r="G20" s="237">
        <f t="shared" si="0"/>
        <v>982.897</v>
      </c>
    </row>
    <row r="21" spans="1:7" ht="12.75">
      <c r="A21" s="226">
        <v>1978</v>
      </c>
      <c r="B21" s="76"/>
      <c r="C21" s="156">
        <v>980</v>
      </c>
      <c r="D21" s="5"/>
      <c r="E21" s="156">
        <v>0.537</v>
      </c>
      <c r="F21" s="5"/>
      <c r="G21" s="237">
        <f t="shared" si="0"/>
        <v>980.537</v>
      </c>
    </row>
    <row r="22" spans="1:7" ht="12.75">
      <c r="A22" s="226">
        <v>1979</v>
      </c>
      <c r="B22" s="76"/>
      <c r="C22" s="156">
        <v>1159</v>
      </c>
      <c r="D22" s="5"/>
      <c r="E22" s="156">
        <v>0.618</v>
      </c>
      <c r="F22" s="5"/>
      <c r="G22" s="237">
        <f t="shared" si="0"/>
        <v>1159.618</v>
      </c>
    </row>
    <row r="23" spans="1:7" ht="12.75">
      <c r="A23" s="226">
        <v>1980</v>
      </c>
      <c r="B23" s="76"/>
      <c r="C23" s="156">
        <v>1594</v>
      </c>
      <c r="D23" s="5"/>
      <c r="E23" s="156">
        <v>0.624</v>
      </c>
      <c r="F23" s="5"/>
      <c r="G23" s="237">
        <f aca="true" t="shared" si="1" ref="G23:G46">E23+C23</f>
        <v>1594.624</v>
      </c>
    </row>
    <row r="24" spans="1:7" ht="12.75">
      <c r="A24" s="226">
        <v>1981</v>
      </c>
      <c r="B24" s="76"/>
      <c r="C24" s="156">
        <v>1226</v>
      </c>
      <c r="D24" s="5"/>
      <c r="E24" s="156">
        <v>0.318</v>
      </c>
      <c r="F24" s="5"/>
      <c r="G24" s="237">
        <f t="shared" si="1"/>
        <v>1226.318</v>
      </c>
    </row>
    <row r="25" spans="1:7" ht="12.75">
      <c r="A25" s="226">
        <v>1982</v>
      </c>
      <c r="B25" s="76"/>
      <c r="C25" s="156">
        <v>1530</v>
      </c>
      <c r="D25" s="5"/>
      <c r="E25" s="156">
        <v>0</v>
      </c>
      <c r="F25" s="5"/>
      <c r="G25" s="237">
        <f t="shared" si="1"/>
        <v>1530</v>
      </c>
    </row>
    <row r="26" spans="1:7" ht="12.75">
      <c r="A26" s="226">
        <v>1983</v>
      </c>
      <c r="B26" s="76"/>
      <c r="C26" s="156">
        <v>2977</v>
      </c>
      <c r="D26" s="5"/>
      <c r="E26" s="156">
        <v>0</v>
      </c>
      <c r="F26" s="5"/>
      <c r="G26" s="237">
        <f t="shared" si="1"/>
        <v>2977</v>
      </c>
    </row>
    <row r="27" spans="1:7" ht="12.75">
      <c r="A27" s="226">
        <v>1984</v>
      </c>
      <c r="B27" s="76"/>
      <c r="C27" s="156">
        <v>2316</v>
      </c>
      <c r="D27" s="5"/>
      <c r="E27" s="156">
        <v>164</v>
      </c>
      <c r="F27" s="5"/>
      <c r="G27" s="237">
        <f t="shared" si="1"/>
        <v>2480</v>
      </c>
    </row>
    <row r="28" spans="1:7" ht="12.75">
      <c r="A28" s="226">
        <v>1985</v>
      </c>
      <c r="B28" s="76"/>
      <c r="C28" s="156">
        <v>2183</v>
      </c>
      <c r="D28" s="5"/>
      <c r="E28" s="156">
        <v>230</v>
      </c>
      <c r="F28" s="5"/>
      <c r="G28" s="237">
        <f t="shared" si="1"/>
        <v>2413</v>
      </c>
    </row>
    <row r="29" spans="1:7" ht="12.75">
      <c r="A29" s="226">
        <v>1986</v>
      </c>
      <c r="B29" s="76"/>
      <c r="C29" s="156">
        <v>1858</v>
      </c>
      <c r="D29" s="5"/>
      <c r="E29" s="156">
        <v>321</v>
      </c>
      <c r="F29" s="5"/>
      <c r="G29" s="237">
        <f t="shared" si="1"/>
        <v>2179</v>
      </c>
    </row>
    <row r="30" spans="1:7" ht="12.75">
      <c r="A30" s="226">
        <v>1987</v>
      </c>
      <c r="B30" s="76"/>
      <c r="C30" s="156">
        <v>1642</v>
      </c>
      <c r="D30" s="5"/>
      <c r="E30" s="156">
        <v>696</v>
      </c>
      <c r="F30" s="5"/>
      <c r="G30" s="237">
        <f t="shared" si="1"/>
        <v>2338</v>
      </c>
    </row>
    <row r="31" spans="1:7" ht="12.75">
      <c r="A31" s="226">
        <v>1988</v>
      </c>
      <c r="B31" s="76"/>
      <c r="C31" s="156">
        <v>1483</v>
      </c>
      <c r="D31" s="5"/>
      <c r="E31" s="156">
        <v>910</v>
      </c>
      <c r="F31" s="5"/>
      <c r="G31" s="237">
        <f t="shared" si="1"/>
        <v>2393</v>
      </c>
    </row>
    <row r="32" spans="1:7" ht="12.75">
      <c r="A32" s="226">
        <v>1989</v>
      </c>
      <c r="B32" s="76"/>
      <c r="C32" s="156">
        <v>1037</v>
      </c>
      <c r="D32" s="5"/>
      <c r="E32" s="156">
        <v>1527</v>
      </c>
      <c r="F32" s="5"/>
      <c r="G32" s="237">
        <f t="shared" si="1"/>
        <v>2564</v>
      </c>
    </row>
    <row r="33" spans="1:7" ht="12.75">
      <c r="A33" s="226">
        <v>1990</v>
      </c>
      <c r="B33" s="76"/>
      <c r="C33" s="156">
        <v>796</v>
      </c>
      <c r="D33" s="5"/>
      <c r="E33" s="156">
        <v>1182.8</v>
      </c>
      <c r="F33" s="5"/>
      <c r="G33" s="237">
        <f t="shared" si="1"/>
        <v>1978.8</v>
      </c>
    </row>
    <row r="34" spans="1:7" ht="12.75">
      <c r="A34" s="226">
        <v>1991</v>
      </c>
      <c r="B34" s="76"/>
      <c r="C34" s="156">
        <v>1067</v>
      </c>
      <c r="D34" s="5"/>
      <c r="E34" s="156">
        <v>1191.9</v>
      </c>
      <c r="F34" s="5"/>
      <c r="G34" s="237">
        <f t="shared" si="1"/>
        <v>2258.9</v>
      </c>
    </row>
    <row r="35" spans="1:7" ht="12.75">
      <c r="A35" s="226">
        <v>1992</v>
      </c>
      <c r="B35" s="76"/>
      <c r="C35" s="156">
        <v>1072</v>
      </c>
      <c r="D35" s="5"/>
      <c r="E35" s="156">
        <v>1090.9</v>
      </c>
      <c r="F35" s="5"/>
      <c r="G35" s="237">
        <f t="shared" si="1"/>
        <v>2162.9</v>
      </c>
    </row>
    <row r="36" spans="1:7" ht="12.75">
      <c r="A36" s="226">
        <v>1993</v>
      </c>
      <c r="B36" s="76"/>
      <c r="C36" s="156">
        <v>875</v>
      </c>
      <c r="D36" s="5"/>
      <c r="E36" s="156">
        <v>563.7</v>
      </c>
      <c r="F36" s="5"/>
      <c r="G36" s="237">
        <f t="shared" si="1"/>
        <v>1438.7</v>
      </c>
    </row>
    <row r="37" spans="1:7" ht="12.75">
      <c r="A37" s="226">
        <v>1994</v>
      </c>
      <c r="B37" s="76"/>
      <c r="C37" s="156">
        <v>807</v>
      </c>
      <c r="D37" s="5"/>
      <c r="E37" s="156">
        <v>172.9</v>
      </c>
      <c r="F37" s="5"/>
      <c r="G37" s="237">
        <f t="shared" si="1"/>
        <v>979.9</v>
      </c>
    </row>
    <row r="38" spans="1:7" ht="12.75">
      <c r="A38" s="226">
        <v>1995</v>
      </c>
      <c r="B38" s="76"/>
      <c r="C38" s="156">
        <v>652</v>
      </c>
      <c r="D38" s="5"/>
      <c r="E38" s="156">
        <v>366.2</v>
      </c>
      <c r="F38" s="5"/>
      <c r="G38" s="237">
        <f t="shared" si="1"/>
        <v>1018.2</v>
      </c>
    </row>
    <row r="39" spans="1:7" ht="12.75">
      <c r="A39" s="226">
        <v>1996</v>
      </c>
      <c r="B39" s="76"/>
      <c r="C39" s="156">
        <v>516</v>
      </c>
      <c r="D39" s="5"/>
      <c r="E39" s="156">
        <v>410.3</v>
      </c>
      <c r="F39" s="5"/>
      <c r="G39" s="237">
        <f t="shared" si="1"/>
        <v>926.3</v>
      </c>
    </row>
    <row r="40" spans="1:7" ht="12.75">
      <c r="A40" s="320">
        <v>1997</v>
      </c>
      <c r="B40" s="321"/>
      <c r="C40" s="321">
        <v>377.3</v>
      </c>
      <c r="D40" s="57"/>
      <c r="E40" s="321">
        <v>146.4</v>
      </c>
      <c r="F40" s="57"/>
      <c r="G40" s="322">
        <f>E40+C40</f>
        <v>523.7</v>
      </c>
    </row>
    <row r="41" spans="1:7" ht="12.75">
      <c r="A41" s="320">
        <v>1998</v>
      </c>
      <c r="B41" s="321"/>
      <c r="C41" s="321">
        <v>531.5</v>
      </c>
      <c r="D41" s="57"/>
      <c r="E41" s="321">
        <v>92.8</v>
      </c>
      <c r="F41" s="57"/>
      <c r="G41" s="322">
        <f>E41+C41</f>
        <v>624.3</v>
      </c>
    </row>
    <row r="42" spans="1:7" ht="12.75">
      <c r="A42" s="320">
        <v>1999</v>
      </c>
      <c r="B42" s="321"/>
      <c r="C42" s="321">
        <v>300</v>
      </c>
      <c r="D42" s="57"/>
      <c r="E42" s="321">
        <v>123</v>
      </c>
      <c r="F42" s="57"/>
      <c r="G42" s="322">
        <f>E42+C42</f>
        <v>423</v>
      </c>
    </row>
    <row r="43" spans="1:7" ht="12.75">
      <c r="A43" s="320">
        <v>2000</v>
      </c>
      <c r="B43" s="321"/>
      <c r="C43" s="321">
        <v>228.7</v>
      </c>
      <c r="D43" s="57"/>
      <c r="E43" s="321">
        <v>148.4</v>
      </c>
      <c r="F43" s="57"/>
      <c r="G43" s="322">
        <f>E43+C43</f>
        <v>377.1</v>
      </c>
    </row>
    <row r="44" spans="1:7" ht="12.75">
      <c r="A44" s="320">
        <v>2001</v>
      </c>
      <c r="B44" s="321"/>
      <c r="C44" s="321">
        <v>337.6</v>
      </c>
      <c r="D44" s="57"/>
      <c r="E44" s="321">
        <v>469.4</v>
      </c>
      <c r="F44" s="57"/>
      <c r="G44" s="322">
        <f t="shared" si="1"/>
        <v>807</v>
      </c>
    </row>
    <row r="45" spans="1:7" ht="12.75">
      <c r="A45" s="320">
        <v>2002</v>
      </c>
      <c r="B45" s="321"/>
      <c r="C45" s="321">
        <v>316.3</v>
      </c>
      <c r="D45" s="57"/>
      <c r="E45" s="321">
        <v>474</v>
      </c>
      <c r="F45" s="57"/>
      <c r="G45" s="322">
        <f t="shared" si="1"/>
        <v>790.3</v>
      </c>
    </row>
    <row r="46" spans="1:7" ht="12.75">
      <c r="A46" s="320">
        <v>2003</v>
      </c>
      <c r="B46" s="321"/>
      <c r="C46" s="321">
        <v>320.6</v>
      </c>
      <c r="D46" s="57"/>
      <c r="E46" s="321">
        <v>223.9</v>
      </c>
      <c r="F46" s="57"/>
      <c r="G46" s="322">
        <f t="shared" si="1"/>
        <v>544.5</v>
      </c>
    </row>
    <row r="47" spans="1:7" ht="12.75">
      <c r="A47" s="399">
        <v>2004</v>
      </c>
      <c r="B47" s="57"/>
      <c r="C47" s="57">
        <v>254.548</v>
      </c>
      <c r="D47" s="57"/>
      <c r="E47" s="57">
        <v>310.1</v>
      </c>
      <c r="F47" s="57"/>
      <c r="G47" s="413">
        <f>E47+C47</f>
        <v>564.648</v>
      </c>
    </row>
    <row r="48" spans="1:7" ht="13.5" thickBot="1">
      <c r="A48" s="400">
        <v>2005</v>
      </c>
      <c r="B48" s="414"/>
      <c r="C48" s="414">
        <v>166.014</v>
      </c>
      <c r="D48" s="414"/>
      <c r="E48" s="414">
        <v>145.456</v>
      </c>
      <c r="F48" s="414"/>
      <c r="G48" s="415">
        <f>E48+C48</f>
        <v>311.47</v>
      </c>
    </row>
    <row r="49" ht="13.5" thickTop="1"/>
    <row r="85" ht="12.75">
      <c r="A85" s="208"/>
    </row>
  </sheetData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300" verticalDpi="300" orientation="landscape" paperSize="9" scale="83" r:id="rId2"/>
  <headerFooter alignWithMargins="0">
    <oddFooter>&amp;C&amp;9 3.11&amp;R&amp;9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46">
      <selection activeCell="F4" sqref="F4"/>
    </sheetView>
  </sheetViews>
  <sheetFormatPr defaultColWidth="12.57421875" defaultRowHeight="12.75"/>
  <cols>
    <col min="1" max="1" width="5.7109375" style="247" customWidth="1"/>
    <col min="2" max="2" width="22.421875" style="247" customWidth="1"/>
    <col min="3" max="3" width="5.7109375" style="247" customWidth="1"/>
    <col min="4" max="5" width="14.7109375" style="247" customWidth="1"/>
    <col min="6" max="6" width="14.7109375" style="253" customWidth="1"/>
    <col min="7" max="7" width="15.140625" style="247" customWidth="1"/>
    <col min="8" max="16384" width="12.57421875" style="247" customWidth="1"/>
  </cols>
  <sheetData>
    <row r="1" spans="1:3" ht="15.75">
      <c r="A1" s="259" t="s">
        <v>71</v>
      </c>
      <c r="B1" s="255" t="s">
        <v>172</v>
      </c>
      <c r="C1" s="255"/>
    </row>
    <row r="2" spans="2:3" ht="15.75">
      <c r="B2" s="255" t="s">
        <v>173</v>
      </c>
      <c r="C2" s="255"/>
    </row>
    <row r="4" ht="12.75">
      <c r="G4" s="248"/>
    </row>
    <row r="5" ht="13.5" thickBot="1">
      <c r="G5" s="248"/>
    </row>
    <row r="6" spans="2:6" ht="13.5" thickTop="1">
      <c r="B6" s="262"/>
      <c r="C6" s="273"/>
      <c r="D6" s="263" t="s">
        <v>72</v>
      </c>
      <c r="E6" s="264" t="s">
        <v>168</v>
      </c>
      <c r="F6" s="265"/>
    </row>
    <row r="7" spans="2:7" ht="12.75">
      <c r="B7" s="266" t="s">
        <v>73</v>
      </c>
      <c r="C7" s="258"/>
      <c r="D7" s="261">
        <v>2004</v>
      </c>
      <c r="E7" s="261">
        <v>2005</v>
      </c>
      <c r="F7" s="267" t="s">
        <v>74</v>
      </c>
      <c r="G7" s="248"/>
    </row>
    <row r="8" spans="2:6" ht="12.75">
      <c r="B8" s="268"/>
      <c r="C8" s="249"/>
      <c r="D8" s="249"/>
      <c r="E8" s="249"/>
      <c r="F8" s="269"/>
    </row>
    <row r="9" spans="2:6" ht="12.75">
      <c r="B9" s="270" t="s">
        <v>75</v>
      </c>
      <c r="C9" s="260"/>
      <c r="F9" s="120"/>
    </row>
    <row r="10" spans="2:6" ht="12.75">
      <c r="B10" s="268"/>
      <c r="C10" s="249"/>
      <c r="F10" s="120"/>
    </row>
    <row r="11" spans="2:7" ht="12.75">
      <c r="B11" s="275" t="s">
        <v>76</v>
      </c>
      <c r="C11" s="276"/>
      <c r="D11" s="277">
        <v>6353</v>
      </c>
      <c r="E11" s="247">
        <v>5699</v>
      </c>
      <c r="F11" s="278">
        <f>((-D11+E11)/D11)*100</f>
        <v>-10.294349126396977</v>
      </c>
      <c r="G11" s="250"/>
    </row>
    <row r="12" spans="2:7" ht="38.25">
      <c r="B12" s="279" t="s">
        <v>161</v>
      </c>
      <c r="C12" s="280"/>
      <c r="D12" s="281">
        <v>173116</v>
      </c>
      <c r="E12" s="247">
        <v>100204</v>
      </c>
      <c r="F12" s="282">
        <f>((-D12+E12)/D12)*100</f>
        <v>-42.11742415490192</v>
      </c>
      <c r="G12" s="250"/>
    </row>
    <row r="13" spans="2:6" ht="12.75">
      <c r="B13" s="275" t="s">
        <v>11</v>
      </c>
      <c r="C13" s="276"/>
      <c r="D13" s="281">
        <v>54551</v>
      </c>
      <c r="E13" s="247">
        <v>33970</v>
      </c>
      <c r="F13" s="282">
        <f>((-D13+E13)/D13)*100</f>
        <v>-37.72799765357189</v>
      </c>
    </row>
    <row r="14" spans="2:6" ht="25.5">
      <c r="B14" s="279" t="s">
        <v>162</v>
      </c>
      <c r="C14" s="276"/>
      <c r="D14" s="281">
        <v>20528</v>
      </c>
      <c r="E14" s="247">
        <v>26141</v>
      </c>
      <c r="F14" s="282">
        <f>((-D14+E14)/D14)*100</f>
        <v>27.343141075604056</v>
      </c>
    </row>
    <row r="15" spans="2:7" ht="12.75">
      <c r="B15" s="283" t="s">
        <v>77</v>
      </c>
      <c r="C15" s="284"/>
      <c r="D15" s="285">
        <f>SUM(D11:D14)</f>
        <v>254548</v>
      </c>
      <c r="E15" s="285">
        <f>SUM(E11:E14)</f>
        <v>166014</v>
      </c>
      <c r="F15" s="286">
        <f>((-D15+E15)/D15)*100</f>
        <v>-34.780866477049514</v>
      </c>
      <c r="G15" s="250"/>
    </row>
    <row r="16" spans="2:7" ht="12.75">
      <c r="B16" s="73"/>
      <c r="C16" s="256"/>
      <c r="D16" s="251"/>
      <c r="E16" s="251"/>
      <c r="F16" s="72"/>
      <c r="G16" s="250"/>
    </row>
    <row r="17" spans="2:7" ht="12.75">
      <c r="B17" s="268"/>
      <c r="C17" s="249"/>
      <c r="D17" s="249"/>
      <c r="E17" s="249"/>
      <c r="F17" s="72"/>
      <c r="G17" s="250"/>
    </row>
    <row r="18" spans="2:7" ht="12.75">
      <c r="B18" s="270" t="s">
        <v>78</v>
      </c>
      <c r="C18" s="260"/>
      <c r="F18" s="98"/>
      <c r="G18" s="250"/>
    </row>
    <row r="19" spans="2:7" ht="12.75">
      <c r="B19" s="268"/>
      <c r="C19" s="249"/>
      <c r="F19" s="98"/>
      <c r="G19" s="250"/>
    </row>
    <row r="20" spans="2:7" ht="12.75">
      <c r="B20" s="275" t="s">
        <v>79</v>
      </c>
      <c r="C20" s="276"/>
      <c r="D20" s="281">
        <v>16825.5</v>
      </c>
      <c r="E20" s="247">
        <v>5416.5</v>
      </c>
      <c r="F20" s="282">
        <f aca="true" t="shared" si="0" ref="F20:F25">((-D20+E20)/D20)*100</f>
        <v>-67.80779174467327</v>
      </c>
      <c r="G20" s="250"/>
    </row>
    <row r="21" spans="2:6" ht="12.75">
      <c r="B21" s="275" t="s">
        <v>140</v>
      </c>
      <c r="C21" s="276"/>
      <c r="D21" s="281">
        <v>269005</v>
      </c>
      <c r="E21" s="247">
        <v>119659.1</v>
      </c>
      <c r="F21" s="282">
        <f t="shared" si="0"/>
        <v>-55.51789000204457</v>
      </c>
    </row>
    <row r="22" spans="2:6" ht="12.75">
      <c r="B22" s="275" t="s">
        <v>88</v>
      </c>
      <c r="C22" s="276"/>
      <c r="D22" s="281">
        <v>4634.1</v>
      </c>
      <c r="E22" s="247">
        <v>3697.6</v>
      </c>
      <c r="F22" s="282">
        <f t="shared" si="0"/>
        <v>-20.208886299389317</v>
      </c>
    </row>
    <row r="23" spans="2:6" ht="12.75">
      <c r="B23" s="275" t="s">
        <v>89</v>
      </c>
      <c r="C23" s="276"/>
      <c r="D23" s="281">
        <v>5372.8</v>
      </c>
      <c r="E23" s="247">
        <v>2849.8</v>
      </c>
      <c r="F23" s="282">
        <f t="shared" si="0"/>
        <v>-46.958755211435374</v>
      </c>
    </row>
    <row r="24" spans="2:6" ht="12.75">
      <c r="B24" s="275" t="s">
        <v>152</v>
      </c>
      <c r="C24" s="276"/>
      <c r="D24" s="281">
        <v>14296.5</v>
      </c>
      <c r="E24" s="247">
        <v>13823.1</v>
      </c>
      <c r="F24" s="282">
        <f t="shared" si="0"/>
        <v>-3.311299968523762</v>
      </c>
    </row>
    <row r="25" spans="2:7" ht="12.75">
      <c r="B25" s="283" t="s">
        <v>77</v>
      </c>
      <c r="C25" s="284"/>
      <c r="D25" s="285">
        <f>SUM(D20:D24)</f>
        <v>310133.89999999997</v>
      </c>
      <c r="E25" s="285">
        <f>SUM(E20:E24)</f>
        <v>145446.1</v>
      </c>
      <c r="F25" s="286">
        <f t="shared" si="0"/>
        <v>-53.102160066990415</v>
      </c>
      <c r="G25" s="250"/>
    </row>
    <row r="26" spans="2:7" ht="12.75">
      <c r="B26" s="268"/>
      <c r="C26" s="249"/>
      <c r="D26" s="249"/>
      <c r="E26" s="249"/>
      <c r="F26" s="72"/>
      <c r="G26" s="250"/>
    </row>
    <row r="27" spans="2:7" ht="12.75">
      <c r="B27" s="409" t="s">
        <v>14</v>
      </c>
      <c r="C27" s="410"/>
      <c r="D27" s="411">
        <f>D15+D25</f>
        <v>564681.8999999999</v>
      </c>
      <c r="E27" s="411">
        <f>E15+E25</f>
        <v>311460.1</v>
      </c>
      <c r="F27" s="412">
        <f>((-D27+E27)/D27)*100</f>
        <v>-44.84326485407094</v>
      </c>
      <c r="G27" s="250"/>
    </row>
    <row r="28" spans="2:6" ht="13.5" thickBot="1">
      <c r="B28" s="74"/>
      <c r="C28" s="274"/>
      <c r="D28" s="271"/>
      <c r="E28" s="271"/>
      <c r="F28" s="272"/>
    </row>
    <row r="29" spans="2:6" ht="13.5" thickTop="1">
      <c r="B29" s="249"/>
      <c r="C29" s="249"/>
      <c r="D29" s="249"/>
      <c r="E29" s="249"/>
      <c r="F29" s="254"/>
    </row>
    <row r="30" ht="12.75">
      <c r="G30" s="250"/>
    </row>
    <row r="31" spans="1:3" ht="12.75">
      <c r="A31" s="257" t="s">
        <v>53</v>
      </c>
      <c r="B31" s="246" t="s">
        <v>108</v>
      </c>
      <c r="C31" s="246"/>
    </row>
    <row r="32" spans="2:3" ht="12.75">
      <c r="B32" s="246" t="s">
        <v>80</v>
      </c>
      <c r="C32" s="246"/>
    </row>
    <row r="93" spans="2:3" ht="12.75">
      <c r="B93" s="252"/>
      <c r="C93" s="252"/>
    </row>
    <row r="95" spans="2:3" ht="12.75">
      <c r="B95" s="252"/>
      <c r="C95" s="252"/>
    </row>
  </sheetData>
  <printOptions/>
  <pageMargins left="0.5905511811023623" right="0.1968503937007874" top="0.3937007874015748" bottom="0.5905511811023623" header="0.1968503937007874" footer="0.31496062992125984"/>
  <pageSetup horizontalDpi="300" verticalDpi="300" orientation="portrait" paperSize="9" r:id="rId2"/>
  <headerFooter alignWithMargins="0">
    <oddFooter>&amp;C&amp;9 3.12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workbookViewId="0" topLeftCell="A13">
      <selection activeCell="J26" sqref="J26"/>
    </sheetView>
  </sheetViews>
  <sheetFormatPr defaultColWidth="11.421875" defaultRowHeight="12.75"/>
  <cols>
    <col min="1" max="1" width="25.7109375" style="1" customWidth="1"/>
    <col min="2" max="2" width="8.7109375" style="1" customWidth="1"/>
    <col min="3" max="3" width="7.7109375" style="1" customWidth="1"/>
    <col min="4" max="5" width="13.7109375" style="1" customWidth="1"/>
    <col min="6" max="6" width="7.7109375" style="1" customWidth="1"/>
    <col min="7" max="7" width="9.7109375" style="1" customWidth="1"/>
    <col min="8" max="8" width="10.7109375" style="1" customWidth="1"/>
    <col min="9" max="9" width="11.7109375" style="1" customWidth="1"/>
    <col min="10" max="11" width="9.7109375" style="1" customWidth="1"/>
    <col min="12" max="16384" width="11.421875" style="1" customWidth="1"/>
  </cols>
  <sheetData>
    <row r="1" ht="15.75">
      <c r="A1" s="4" t="s">
        <v>121</v>
      </c>
    </row>
    <row r="3" ht="13.5" thickBot="1"/>
    <row r="4" spans="1:11" ht="12.75">
      <c r="A4" s="21"/>
      <c r="B4" s="25"/>
      <c r="C4" s="22"/>
      <c r="D4" s="23" t="s">
        <v>7</v>
      </c>
      <c r="E4" s="24"/>
      <c r="F4" s="25"/>
      <c r="G4" s="22"/>
      <c r="H4" s="296" t="s">
        <v>7</v>
      </c>
      <c r="I4" s="24"/>
      <c r="J4" s="25"/>
      <c r="K4" s="26"/>
    </row>
    <row r="5" spans="1:11" ht="12.75">
      <c r="A5" s="20"/>
      <c r="B5" s="11" t="s">
        <v>5</v>
      </c>
      <c r="C5" s="7"/>
      <c r="D5" s="10" t="s">
        <v>16</v>
      </c>
      <c r="E5" s="6"/>
      <c r="F5" s="11" t="s">
        <v>11</v>
      </c>
      <c r="G5" s="7"/>
      <c r="H5" s="292" t="s">
        <v>17</v>
      </c>
      <c r="I5" s="7"/>
      <c r="J5" s="11" t="s">
        <v>14</v>
      </c>
      <c r="K5" s="27"/>
    </row>
    <row r="6" spans="1:11" ht="12.75">
      <c r="A6" s="19" t="s">
        <v>120</v>
      </c>
      <c r="B6" s="8"/>
      <c r="C6" s="12"/>
      <c r="D6" s="8"/>
      <c r="E6" s="12"/>
      <c r="F6" s="8"/>
      <c r="G6" s="12"/>
      <c r="H6" s="293"/>
      <c r="I6" s="291"/>
      <c r="J6" s="8"/>
      <c r="K6" s="28"/>
    </row>
    <row r="7" spans="1:12" ht="12.75">
      <c r="A7" s="29" t="s">
        <v>18</v>
      </c>
      <c r="B7" s="9" t="s">
        <v>155</v>
      </c>
      <c r="C7" s="41" t="s">
        <v>19</v>
      </c>
      <c r="D7" s="9" t="s">
        <v>155</v>
      </c>
      <c r="E7" s="41" t="s">
        <v>19</v>
      </c>
      <c r="F7" s="9" t="s">
        <v>155</v>
      </c>
      <c r="G7" s="41" t="s">
        <v>19</v>
      </c>
      <c r="H7" s="9" t="s">
        <v>155</v>
      </c>
      <c r="I7" s="41" t="s">
        <v>19</v>
      </c>
      <c r="J7" s="9" t="s">
        <v>155</v>
      </c>
      <c r="K7" s="42" t="s">
        <v>19</v>
      </c>
      <c r="L7" s="332" t="s">
        <v>153</v>
      </c>
    </row>
    <row r="8" spans="1:11" ht="12.75">
      <c r="A8" s="30"/>
      <c r="B8" s="16"/>
      <c r="C8" s="13"/>
      <c r="D8" s="16"/>
      <c r="E8" s="13"/>
      <c r="F8" s="16"/>
      <c r="G8" s="13"/>
      <c r="H8" s="294"/>
      <c r="I8" s="2"/>
      <c r="J8" s="16"/>
      <c r="K8" s="31"/>
    </row>
    <row r="9" spans="1:12" ht="12.75">
      <c r="A9" s="32" t="s">
        <v>20</v>
      </c>
      <c r="B9" s="17">
        <v>482</v>
      </c>
      <c r="C9" s="14">
        <v>3519</v>
      </c>
      <c r="D9" s="17">
        <f>10320+42</f>
        <v>10362</v>
      </c>
      <c r="E9" s="14">
        <f>74818+308</f>
        <v>75126</v>
      </c>
      <c r="F9" s="17">
        <f>1943+396</f>
        <v>2339</v>
      </c>
      <c r="G9" s="14">
        <f>15035+3064</f>
        <v>18099</v>
      </c>
      <c r="H9" s="295">
        <v>1199</v>
      </c>
      <c r="I9" s="49">
        <v>9128</v>
      </c>
      <c r="J9" s="17">
        <f aca="true" t="shared" si="0" ref="J9:K11">B9+D9+F9+H9</f>
        <v>14382</v>
      </c>
      <c r="K9" s="33">
        <f t="shared" si="0"/>
        <v>105872</v>
      </c>
      <c r="L9" s="1">
        <f>+K9/31</f>
        <v>3415.2258064516127</v>
      </c>
    </row>
    <row r="10" spans="1:12" ht="12.75">
      <c r="A10" s="32" t="s">
        <v>21</v>
      </c>
      <c r="B10" s="17">
        <v>426</v>
      </c>
      <c r="C10" s="14">
        <v>3109</v>
      </c>
      <c r="D10" s="17">
        <f>5515+49</f>
        <v>5564</v>
      </c>
      <c r="E10" s="14">
        <f>39987+363</f>
        <v>40350</v>
      </c>
      <c r="F10" s="17">
        <f>1675+422</f>
        <v>2097</v>
      </c>
      <c r="G10" s="14">
        <f>12961+3267</f>
        <v>16228</v>
      </c>
      <c r="H10" s="295">
        <v>1098</v>
      </c>
      <c r="I10" s="49">
        <v>8359</v>
      </c>
      <c r="J10" s="17">
        <f t="shared" si="0"/>
        <v>9185</v>
      </c>
      <c r="K10" s="33">
        <f t="shared" si="0"/>
        <v>68046</v>
      </c>
      <c r="L10" s="1">
        <f>+K10/28</f>
        <v>2430.214285714286</v>
      </c>
    </row>
    <row r="11" spans="1:12" ht="12.75">
      <c r="A11" s="32" t="s">
        <v>22</v>
      </c>
      <c r="B11" s="17">
        <v>499</v>
      </c>
      <c r="C11" s="14">
        <v>3645</v>
      </c>
      <c r="D11" s="17">
        <f>9926+50</f>
        <v>9976</v>
      </c>
      <c r="E11" s="14">
        <f>71962+371</f>
        <v>72333</v>
      </c>
      <c r="F11" s="17">
        <f>1900+291</f>
        <v>2191</v>
      </c>
      <c r="G11" s="14">
        <f>14703+2255</f>
        <v>16958</v>
      </c>
      <c r="H11" s="295">
        <v>1434</v>
      </c>
      <c r="I11" s="49">
        <v>10911</v>
      </c>
      <c r="J11" s="17">
        <f t="shared" si="0"/>
        <v>14100</v>
      </c>
      <c r="K11" s="33">
        <f t="shared" si="0"/>
        <v>103847</v>
      </c>
      <c r="L11" s="1">
        <f>+K11/31</f>
        <v>3349.9032258064517</v>
      </c>
    </row>
    <row r="12" spans="1:12" ht="12.75">
      <c r="A12" s="32" t="s">
        <v>23</v>
      </c>
      <c r="B12" s="17">
        <v>511</v>
      </c>
      <c r="C12" s="14">
        <v>3721</v>
      </c>
      <c r="D12" s="17">
        <f>6325+41</f>
        <v>6366</v>
      </c>
      <c r="E12" s="14">
        <f>45853+300</f>
        <v>46153</v>
      </c>
      <c r="F12" s="17">
        <f>1895+504</f>
        <v>2399</v>
      </c>
      <c r="G12" s="14">
        <f>14668+3901</f>
        <v>18569</v>
      </c>
      <c r="H12" s="295">
        <v>2426</v>
      </c>
      <c r="I12" s="49">
        <v>18463</v>
      </c>
      <c r="J12" s="17">
        <f aca="true" t="shared" si="1" ref="J12:K16">B12+D12+F12+H12</f>
        <v>11702</v>
      </c>
      <c r="K12" s="33">
        <f t="shared" si="1"/>
        <v>86906</v>
      </c>
      <c r="L12" s="1">
        <f>+K12/30</f>
        <v>2896.866666666667</v>
      </c>
    </row>
    <row r="13" spans="1:12" ht="12.75">
      <c r="A13" s="32" t="s">
        <v>24</v>
      </c>
      <c r="B13" s="17">
        <v>505</v>
      </c>
      <c r="C13" s="14">
        <v>3671</v>
      </c>
      <c r="D13" s="17">
        <f>6080+68</f>
        <v>6148</v>
      </c>
      <c r="E13" s="14">
        <f>44082+497</f>
        <v>44579</v>
      </c>
      <c r="F13" s="17">
        <f>1856+3524</f>
        <v>5380</v>
      </c>
      <c r="G13" s="14">
        <f>14367+27286</f>
        <v>41653</v>
      </c>
      <c r="H13" s="295">
        <v>2525</v>
      </c>
      <c r="I13" s="49">
        <v>19217</v>
      </c>
      <c r="J13" s="17">
        <f t="shared" si="1"/>
        <v>14558</v>
      </c>
      <c r="K13" s="33">
        <f t="shared" si="1"/>
        <v>109120</v>
      </c>
      <c r="L13" s="1">
        <f>+K13/31</f>
        <v>3520</v>
      </c>
    </row>
    <row r="14" spans="1:12" ht="12.75">
      <c r="A14" s="32" t="s">
        <v>25</v>
      </c>
      <c r="B14" s="17">
        <v>432</v>
      </c>
      <c r="C14" s="14">
        <v>3128</v>
      </c>
      <c r="D14" s="17">
        <f>4884+42</f>
        <v>4926</v>
      </c>
      <c r="E14" s="14">
        <f>35409+311</f>
        <v>35720</v>
      </c>
      <c r="F14" s="17">
        <f>1738+4499</f>
        <v>6237</v>
      </c>
      <c r="G14" s="14">
        <f>13451+34865</f>
        <v>48316</v>
      </c>
      <c r="H14" s="295">
        <v>2444</v>
      </c>
      <c r="I14" s="49">
        <v>18597</v>
      </c>
      <c r="J14" s="17">
        <f t="shared" si="1"/>
        <v>14039</v>
      </c>
      <c r="K14" s="33">
        <f t="shared" si="1"/>
        <v>105761</v>
      </c>
      <c r="L14" s="1">
        <f>+K14/30</f>
        <v>3525.366666666667</v>
      </c>
    </row>
    <row r="15" spans="1:12" ht="12.75">
      <c r="A15" s="32" t="s">
        <v>26</v>
      </c>
      <c r="B15" s="17">
        <v>487</v>
      </c>
      <c r="C15" s="14">
        <v>3518</v>
      </c>
      <c r="D15" s="17">
        <f>12144+32</f>
        <v>12176</v>
      </c>
      <c r="E15" s="14">
        <f>88044+239</f>
        <v>88283</v>
      </c>
      <c r="F15" s="17">
        <f>1856+621</f>
        <v>2477</v>
      </c>
      <c r="G15" s="14">
        <f>14361+4808</f>
        <v>19169</v>
      </c>
      <c r="H15" s="295">
        <v>2530</v>
      </c>
      <c r="I15" s="49">
        <v>19252</v>
      </c>
      <c r="J15" s="17">
        <f t="shared" si="1"/>
        <v>17670</v>
      </c>
      <c r="K15" s="33">
        <f t="shared" si="1"/>
        <v>130222</v>
      </c>
      <c r="L15" s="1">
        <f>+K15/31</f>
        <v>4200.709677419355</v>
      </c>
    </row>
    <row r="16" spans="1:12" ht="12.75">
      <c r="A16" s="32" t="s">
        <v>27</v>
      </c>
      <c r="B16" s="17">
        <v>502</v>
      </c>
      <c r="C16" s="14">
        <v>3634</v>
      </c>
      <c r="D16" s="17">
        <f>6541+20</f>
        <v>6561</v>
      </c>
      <c r="E16" s="14">
        <f>47425+157</f>
        <v>47582</v>
      </c>
      <c r="F16" s="17">
        <f>1977+379</f>
        <v>2356</v>
      </c>
      <c r="G16" s="14">
        <f>15297+2937</f>
        <v>18234</v>
      </c>
      <c r="H16" s="295">
        <v>2527</v>
      </c>
      <c r="I16" s="49">
        <v>19232</v>
      </c>
      <c r="J16" s="17">
        <f t="shared" si="1"/>
        <v>11946</v>
      </c>
      <c r="K16" s="33">
        <f t="shared" si="1"/>
        <v>88682</v>
      </c>
      <c r="L16" s="1">
        <f>+K16/31</f>
        <v>2860.7096774193546</v>
      </c>
    </row>
    <row r="17" spans="1:12" ht="12.75">
      <c r="A17" s="32" t="s">
        <v>28</v>
      </c>
      <c r="B17" s="17">
        <v>497</v>
      </c>
      <c r="C17" s="14">
        <v>3584</v>
      </c>
      <c r="D17" s="17">
        <f>8138+31</f>
        <v>8169</v>
      </c>
      <c r="E17" s="14">
        <f>63333+221</f>
        <v>63554</v>
      </c>
      <c r="F17" s="17">
        <f>1926+230</f>
        <v>2156</v>
      </c>
      <c r="G17" s="14">
        <f>14909+1781</f>
        <v>16690</v>
      </c>
      <c r="H17" s="295">
        <v>2441</v>
      </c>
      <c r="I17" s="49">
        <v>18574</v>
      </c>
      <c r="J17" s="17">
        <f aca="true" t="shared" si="2" ref="J17:K19">B17+D17+F17+H17</f>
        <v>13263</v>
      </c>
      <c r="K17" s="33">
        <f t="shared" si="2"/>
        <v>102402</v>
      </c>
      <c r="L17" s="1">
        <f>+K17/30</f>
        <v>3413.4</v>
      </c>
    </row>
    <row r="18" spans="1:12" ht="12.75">
      <c r="A18" s="32" t="s">
        <v>29</v>
      </c>
      <c r="B18" s="17">
        <v>487</v>
      </c>
      <c r="C18" s="14">
        <v>3533</v>
      </c>
      <c r="D18" s="17">
        <f>10511+0</f>
        <v>10511</v>
      </c>
      <c r="E18" s="14">
        <f>76205+0</f>
        <v>76205</v>
      </c>
      <c r="F18" s="17">
        <f>1856+365</f>
        <v>2221</v>
      </c>
      <c r="G18" s="14">
        <f>14367+2829</f>
        <v>17196</v>
      </c>
      <c r="H18" s="295">
        <v>2426</v>
      </c>
      <c r="I18" s="49">
        <v>18459</v>
      </c>
      <c r="J18" s="17">
        <f t="shared" si="2"/>
        <v>15645</v>
      </c>
      <c r="K18" s="33">
        <f t="shared" si="2"/>
        <v>115393</v>
      </c>
      <c r="L18" s="1">
        <f>+K18/31</f>
        <v>3722.3548387096776</v>
      </c>
    </row>
    <row r="19" spans="1:12" ht="12.75">
      <c r="A19" s="32" t="s">
        <v>30</v>
      </c>
      <c r="B19" s="17">
        <v>441</v>
      </c>
      <c r="C19" s="14">
        <v>3213</v>
      </c>
      <c r="D19" s="17">
        <f>10605+0</f>
        <v>10605</v>
      </c>
      <c r="E19" s="14">
        <f>76883+0</f>
        <v>76883</v>
      </c>
      <c r="F19" s="17">
        <f>1751+182</f>
        <v>1933</v>
      </c>
      <c r="G19" s="14">
        <f>13554+1409</f>
        <v>14963</v>
      </c>
      <c r="H19" s="295">
        <v>2302</v>
      </c>
      <c r="I19" s="49">
        <v>17480</v>
      </c>
      <c r="J19" s="17">
        <f t="shared" si="2"/>
        <v>15281</v>
      </c>
      <c r="K19" s="33">
        <f t="shared" si="2"/>
        <v>112539</v>
      </c>
      <c r="L19" s="1">
        <f>+K19/30</f>
        <v>3751.3</v>
      </c>
    </row>
    <row r="20" spans="1:12" ht="12.75">
      <c r="A20" s="32" t="s">
        <v>31</v>
      </c>
      <c r="B20" s="17">
        <v>430</v>
      </c>
      <c r="C20" s="14">
        <v>3135</v>
      </c>
      <c r="D20" s="17">
        <f>8840+0</f>
        <v>8840</v>
      </c>
      <c r="E20" s="14">
        <f>64090+0</f>
        <v>64090</v>
      </c>
      <c r="F20" s="17">
        <f>1887+297</f>
        <v>2184</v>
      </c>
      <c r="G20" s="14">
        <f>14600+2297</f>
        <v>16897</v>
      </c>
      <c r="H20" s="295">
        <v>2789</v>
      </c>
      <c r="I20" s="49">
        <v>21225</v>
      </c>
      <c r="J20" s="17">
        <f>B20+D20+F20+H20</f>
        <v>14243</v>
      </c>
      <c r="K20" s="33">
        <f>C20+E20+G20+I20</f>
        <v>105347</v>
      </c>
      <c r="L20" s="1">
        <f>+K20/31</f>
        <v>3398.2903225806454</v>
      </c>
    </row>
    <row r="21" spans="1:11" ht="12.75">
      <c r="A21" s="20"/>
      <c r="B21" s="3"/>
      <c r="C21" s="2"/>
      <c r="D21" s="2"/>
      <c r="E21" s="2"/>
      <c r="F21" s="3"/>
      <c r="G21" s="2"/>
      <c r="H21" s="2"/>
      <c r="I21" s="2"/>
      <c r="J21" s="2"/>
      <c r="K21" s="39"/>
    </row>
    <row r="22" spans="1:11" ht="12.75">
      <c r="A22" s="40" t="s">
        <v>14</v>
      </c>
      <c r="B22" s="18">
        <f>SUM(B9:B20)</f>
        <v>5699</v>
      </c>
      <c r="C22" s="15">
        <f>SUM(C9:C20)</f>
        <v>41410</v>
      </c>
      <c r="D22" s="18">
        <f>SUM(D9:D20)</f>
        <v>100204</v>
      </c>
      <c r="E22" s="15">
        <f>SUM(E9:E20)</f>
        <v>730858</v>
      </c>
      <c r="F22" s="18">
        <f aca="true" t="shared" si="3" ref="F22:K22">SUM(F9:F20)</f>
        <v>33970</v>
      </c>
      <c r="G22" s="15">
        <f t="shared" si="3"/>
        <v>262972</v>
      </c>
      <c r="H22" s="18">
        <f t="shared" si="3"/>
        <v>26141</v>
      </c>
      <c r="I22" s="15">
        <f t="shared" si="3"/>
        <v>198897</v>
      </c>
      <c r="J22" s="18">
        <f t="shared" si="3"/>
        <v>166014</v>
      </c>
      <c r="K22" s="34">
        <f t="shared" si="3"/>
        <v>1234137</v>
      </c>
    </row>
    <row r="23" spans="1:11" ht="13.5" thickBot="1">
      <c r="A23" s="35"/>
      <c r="B23" s="36"/>
      <c r="C23" s="36"/>
      <c r="D23" s="36"/>
      <c r="E23" s="36"/>
      <c r="F23" s="37"/>
      <c r="G23" s="36"/>
      <c r="H23" s="36"/>
      <c r="I23" s="36"/>
      <c r="J23" s="36"/>
      <c r="K23" s="38"/>
    </row>
    <row r="25" spans="10:12" ht="12.75">
      <c r="J25" s="333" t="s">
        <v>174</v>
      </c>
      <c r="L25" s="1">
        <f>K22/365</f>
        <v>3381.1972602739725</v>
      </c>
    </row>
  </sheetData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&amp;C3.2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0">
      <selection activeCell="C27" sqref="C27"/>
    </sheetView>
  </sheetViews>
  <sheetFormatPr defaultColWidth="11.421875" defaultRowHeight="12.75"/>
  <cols>
    <col min="1" max="1" width="25.7109375" style="1" customWidth="1"/>
    <col min="2" max="3" width="11.7109375" style="1" customWidth="1"/>
    <col min="4" max="5" width="13.7109375" style="1" customWidth="1"/>
    <col min="6" max="6" width="9.7109375" style="1" customWidth="1"/>
    <col min="7" max="8" width="10.7109375" style="1" customWidth="1"/>
    <col min="9" max="9" width="11.7109375" style="1" customWidth="1"/>
    <col min="10" max="16384" width="11.421875" style="1" customWidth="1"/>
  </cols>
  <sheetData>
    <row r="1" ht="15.75">
      <c r="A1" s="4" t="s">
        <v>122</v>
      </c>
    </row>
    <row r="6" ht="13.5" thickBot="1"/>
    <row r="7" spans="1:9" ht="12.75">
      <c r="A7" s="21"/>
      <c r="B7" s="25"/>
      <c r="C7" s="22"/>
      <c r="D7" s="23" t="s">
        <v>163</v>
      </c>
      <c r="E7" s="24"/>
      <c r="F7" s="25"/>
      <c r="G7" s="297"/>
      <c r="H7" s="296" t="s">
        <v>163</v>
      </c>
      <c r="I7" s="303"/>
    </row>
    <row r="8" spans="1:9" ht="12.75">
      <c r="A8" s="20"/>
      <c r="B8" s="11" t="s">
        <v>5</v>
      </c>
      <c r="C8" s="7"/>
      <c r="D8" s="10" t="s">
        <v>16</v>
      </c>
      <c r="E8" s="6"/>
      <c r="F8" s="11" t="s">
        <v>11</v>
      </c>
      <c r="G8" s="298"/>
      <c r="H8" s="11" t="s">
        <v>17</v>
      </c>
      <c r="I8" s="27"/>
    </row>
    <row r="9" spans="1:9" ht="12.75">
      <c r="A9" s="19" t="s">
        <v>120</v>
      </c>
      <c r="B9" s="8"/>
      <c r="C9" s="12"/>
      <c r="D9" s="8"/>
      <c r="E9" s="12"/>
      <c r="F9" s="8"/>
      <c r="G9" s="299"/>
      <c r="H9" s="8"/>
      <c r="I9" s="28"/>
    </row>
    <row r="10" spans="1:9" ht="12.75">
      <c r="A10" s="29" t="s">
        <v>18</v>
      </c>
      <c r="B10" s="9" t="s">
        <v>155</v>
      </c>
      <c r="C10" s="41" t="s">
        <v>19</v>
      </c>
      <c r="D10" s="9" t="s">
        <v>155</v>
      </c>
      <c r="E10" s="41" t="s">
        <v>19</v>
      </c>
      <c r="F10" s="9" t="s">
        <v>155</v>
      </c>
      <c r="G10" s="300" t="s">
        <v>19</v>
      </c>
      <c r="H10" s="9" t="s">
        <v>155</v>
      </c>
      <c r="I10" s="42" t="s">
        <v>19</v>
      </c>
    </row>
    <row r="11" spans="1:9" ht="12.75">
      <c r="A11" s="307" t="s">
        <v>154</v>
      </c>
      <c r="B11" s="309">
        <v>2264745</v>
      </c>
      <c r="C11" s="308">
        <v>16921927</v>
      </c>
      <c r="D11" s="309">
        <v>19549843</v>
      </c>
      <c r="E11" s="308">
        <v>142885586</v>
      </c>
      <c r="F11" s="309">
        <v>839971</v>
      </c>
      <c r="G11" s="310">
        <v>6425465</v>
      </c>
      <c r="H11" s="309">
        <v>628725</v>
      </c>
      <c r="I11" s="311">
        <v>4752096</v>
      </c>
    </row>
    <row r="12" spans="1:9" ht="12.75">
      <c r="A12" s="32" t="s">
        <v>20</v>
      </c>
      <c r="B12" s="17">
        <f>+B11+'32PMC'!B9</f>
        <v>2265227</v>
      </c>
      <c r="C12" s="14">
        <f>+C11+'32PMC'!C9</f>
        <v>16925446</v>
      </c>
      <c r="D12" s="17">
        <f>+D11+'32PMC'!D9</f>
        <v>19560205</v>
      </c>
      <c r="E12" s="14">
        <f>+E11+'32PMC'!E9</f>
        <v>142960712</v>
      </c>
      <c r="F12" s="17">
        <f>+F11+'32PMC'!F9</f>
        <v>842310</v>
      </c>
      <c r="G12" s="301">
        <f>+G11+'32PMC'!G9</f>
        <v>6443564</v>
      </c>
      <c r="H12" s="17">
        <f>+H11+'32PMC'!H9</f>
        <v>629924</v>
      </c>
      <c r="I12" s="33">
        <f>+I11+'32PMC'!I9</f>
        <v>4761224</v>
      </c>
    </row>
    <row r="13" spans="1:9" ht="12.75">
      <c r="A13" s="32" t="s">
        <v>21</v>
      </c>
      <c r="B13" s="17">
        <f>+B12+'32PMC'!B10</f>
        <v>2265653</v>
      </c>
      <c r="C13" s="14">
        <f>+C12+'32PMC'!C10</f>
        <v>16928555</v>
      </c>
      <c r="D13" s="17">
        <f>+D12+'32PMC'!D10</f>
        <v>19565769</v>
      </c>
      <c r="E13" s="14">
        <f>+E12+'32PMC'!E10</f>
        <v>143001062</v>
      </c>
      <c r="F13" s="17">
        <f>+F12+'32PMC'!F10</f>
        <v>844407</v>
      </c>
      <c r="G13" s="301">
        <f>+G12+'32PMC'!G10</f>
        <v>6459792</v>
      </c>
      <c r="H13" s="17">
        <f>+H12+'32PMC'!H10</f>
        <v>631022</v>
      </c>
      <c r="I13" s="33">
        <f>+I12+'32PMC'!I10</f>
        <v>4769583</v>
      </c>
    </row>
    <row r="14" spans="1:9" ht="12.75">
      <c r="A14" s="32" t="s">
        <v>22</v>
      </c>
      <c r="B14" s="17">
        <f>+B13+'32PMC'!B11</f>
        <v>2266152</v>
      </c>
      <c r="C14" s="14">
        <f>+C13+'32PMC'!C11</f>
        <v>16932200</v>
      </c>
      <c r="D14" s="17">
        <f>+D13+'32PMC'!D11</f>
        <v>19575745</v>
      </c>
      <c r="E14" s="14">
        <f>+E13+'32PMC'!E11</f>
        <v>143073395</v>
      </c>
      <c r="F14" s="17">
        <f>+F13+'32PMC'!F11</f>
        <v>846598</v>
      </c>
      <c r="G14" s="301">
        <f>+G13+'32PMC'!G11</f>
        <v>6476750</v>
      </c>
      <c r="H14" s="17">
        <f>+H13+'32PMC'!H11</f>
        <v>632456</v>
      </c>
      <c r="I14" s="33">
        <f>+I13+'32PMC'!I11</f>
        <v>4780494</v>
      </c>
    </row>
    <row r="15" spans="1:9" ht="12.75">
      <c r="A15" s="32" t="s">
        <v>23</v>
      </c>
      <c r="B15" s="17">
        <f>+B14+'32PMC'!B12</f>
        <v>2266663</v>
      </c>
      <c r="C15" s="14">
        <f>+C14+'32PMC'!C12</f>
        <v>16935921</v>
      </c>
      <c r="D15" s="17">
        <f>+D14+'32PMC'!D12</f>
        <v>19582111</v>
      </c>
      <c r="E15" s="14">
        <f>+E14+'32PMC'!E12</f>
        <v>143119548</v>
      </c>
      <c r="F15" s="17">
        <f>+F14+'32PMC'!F12</f>
        <v>848997</v>
      </c>
      <c r="G15" s="301">
        <f>+G14+'32PMC'!G12</f>
        <v>6495319</v>
      </c>
      <c r="H15" s="17">
        <f>+H14+'32PMC'!H12</f>
        <v>634882</v>
      </c>
      <c r="I15" s="33">
        <f>+I14+'32PMC'!I12</f>
        <v>4798957</v>
      </c>
    </row>
    <row r="16" spans="1:9" ht="12.75">
      <c r="A16" s="32" t="s">
        <v>24</v>
      </c>
      <c r="B16" s="17">
        <f>+B15+'32PMC'!B13</f>
        <v>2267168</v>
      </c>
      <c r="C16" s="14">
        <f>+C15+'32PMC'!C13</f>
        <v>16939592</v>
      </c>
      <c r="D16" s="17">
        <f>+D15+'32PMC'!D13</f>
        <v>19588259</v>
      </c>
      <c r="E16" s="14">
        <f>+E15+'32PMC'!E13</f>
        <v>143164127</v>
      </c>
      <c r="F16" s="17">
        <f>+F15+'32PMC'!F13</f>
        <v>854377</v>
      </c>
      <c r="G16" s="301">
        <f>+G15+'32PMC'!G13</f>
        <v>6536972</v>
      </c>
      <c r="H16" s="17">
        <f>+H15+'32PMC'!H13</f>
        <v>637407</v>
      </c>
      <c r="I16" s="33">
        <f>+I15+'32PMC'!I13</f>
        <v>4818174</v>
      </c>
    </row>
    <row r="17" spans="1:9" ht="12.75">
      <c r="A17" s="32" t="s">
        <v>25</v>
      </c>
      <c r="B17" s="17">
        <f>+B16+'32PMC'!B14</f>
        <v>2267600</v>
      </c>
      <c r="C17" s="14">
        <f>+C16+'32PMC'!C14</f>
        <v>16942720</v>
      </c>
      <c r="D17" s="17">
        <f>+D16+'32PMC'!D14</f>
        <v>19593185</v>
      </c>
      <c r="E17" s="14">
        <f>+E16+'32PMC'!E14</f>
        <v>143199847</v>
      </c>
      <c r="F17" s="17">
        <f>+F16+'32PMC'!F14</f>
        <v>860614</v>
      </c>
      <c r="G17" s="301">
        <f>+G16+'32PMC'!G14</f>
        <v>6585288</v>
      </c>
      <c r="H17" s="17">
        <f>+H16+'32PMC'!H14</f>
        <v>639851</v>
      </c>
      <c r="I17" s="33">
        <f>+I16+'32PMC'!I14</f>
        <v>4836771</v>
      </c>
    </row>
    <row r="18" spans="1:9" ht="12.75">
      <c r="A18" s="32" t="s">
        <v>26</v>
      </c>
      <c r="B18" s="17">
        <f>+B17+'32PMC'!B15</f>
        <v>2268087</v>
      </c>
      <c r="C18" s="14">
        <f>+C17+'32PMC'!C15</f>
        <v>16946238</v>
      </c>
      <c r="D18" s="17">
        <f>+D17+'32PMC'!D15</f>
        <v>19605361</v>
      </c>
      <c r="E18" s="14">
        <f>+E17+'32PMC'!E15</f>
        <v>143288130</v>
      </c>
      <c r="F18" s="17">
        <f>+F17+'32PMC'!F15</f>
        <v>863091</v>
      </c>
      <c r="G18" s="301">
        <f>+G17+'32PMC'!G15</f>
        <v>6604457</v>
      </c>
      <c r="H18" s="17">
        <f>+H17+'32PMC'!H15</f>
        <v>642381</v>
      </c>
      <c r="I18" s="33">
        <f>+I17+'32PMC'!I15</f>
        <v>4856023</v>
      </c>
    </row>
    <row r="19" spans="1:9" ht="12.75">
      <c r="A19" s="32" t="s">
        <v>27</v>
      </c>
      <c r="B19" s="17">
        <f>+B18+'32PMC'!B16</f>
        <v>2268589</v>
      </c>
      <c r="C19" s="14">
        <f>+C18+'32PMC'!C16</f>
        <v>16949872</v>
      </c>
      <c r="D19" s="17">
        <f>+D18+'32PMC'!D16</f>
        <v>19611922</v>
      </c>
      <c r="E19" s="14">
        <f>+E18+'32PMC'!E16</f>
        <v>143335712</v>
      </c>
      <c r="F19" s="17">
        <f>+F18+'32PMC'!F16</f>
        <v>865447</v>
      </c>
      <c r="G19" s="301">
        <f>+G18+'32PMC'!G16</f>
        <v>6622691</v>
      </c>
      <c r="H19" s="17">
        <f>+H18+'32PMC'!H16</f>
        <v>644908</v>
      </c>
      <c r="I19" s="33">
        <f>+I18+'32PMC'!I16</f>
        <v>4875255</v>
      </c>
    </row>
    <row r="20" spans="1:9" ht="12.75">
      <c r="A20" s="32" t="s">
        <v>28</v>
      </c>
      <c r="B20" s="17">
        <f>+B19+'32PMC'!B17</f>
        <v>2269086</v>
      </c>
      <c r="C20" s="14">
        <f>+C19+'32PMC'!C17</f>
        <v>16953456</v>
      </c>
      <c r="D20" s="17">
        <f>+D19+'32PMC'!D17</f>
        <v>19620091</v>
      </c>
      <c r="E20" s="14">
        <f>+E19+'32PMC'!E17</f>
        <v>143399266</v>
      </c>
      <c r="F20" s="17">
        <f>+F19+'32PMC'!F17</f>
        <v>867603</v>
      </c>
      <c r="G20" s="301">
        <f>+G19+'32PMC'!G17</f>
        <v>6639381</v>
      </c>
      <c r="H20" s="17">
        <f>+H19+'32PMC'!H17</f>
        <v>647349</v>
      </c>
      <c r="I20" s="33">
        <f>+I19+'32PMC'!I17</f>
        <v>4893829</v>
      </c>
    </row>
    <row r="21" spans="1:9" ht="12.75">
      <c r="A21" s="32" t="s">
        <v>29</v>
      </c>
      <c r="B21" s="17">
        <f>+B20+'32PMC'!B18</f>
        <v>2269573</v>
      </c>
      <c r="C21" s="14">
        <f>+C20+'32PMC'!C18</f>
        <v>16956989</v>
      </c>
      <c r="D21" s="17">
        <f>+D20+'32PMC'!D18</f>
        <v>19630602</v>
      </c>
      <c r="E21" s="14">
        <f>+E20+'32PMC'!E18</f>
        <v>143475471</v>
      </c>
      <c r="F21" s="17">
        <f>+F20+'32PMC'!F18</f>
        <v>869824</v>
      </c>
      <c r="G21" s="301">
        <f>+G20+'32PMC'!G18</f>
        <v>6656577</v>
      </c>
      <c r="H21" s="17">
        <f>+H20+'32PMC'!H18</f>
        <v>649775</v>
      </c>
      <c r="I21" s="33">
        <f>+I20+'32PMC'!I18</f>
        <v>4912288</v>
      </c>
    </row>
    <row r="22" spans="1:9" ht="12.75">
      <c r="A22" s="32" t="s">
        <v>30</v>
      </c>
      <c r="B22" s="17">
        <f>+B21+'32PMC'!B19</f>
        <v>2270014</v>
      </c>
      <c r="C22" s="14">
        <f>+C21+'32PMC'!C19</f>
        <v>16960202</v>
      </c>
      <c r="D22" s="17">
        <f>+D21+'32PMC'!D19</f>
        <v>19641207</v>
      </c>
      <c r="E22" s="14">
        <f>+E21+'32PMC'!E19</f>
        <v>143552354</v>
      </c>
      <c r="F22" s="17">
        <f>+F21+'32PMC'!F19</f>
        <v>871757</v>
      </c>
      <c r="G22" s="301">
        <f>+G21+'32PMC'!G19</f>
        <v>6671540</v>
      </c>
      <c r="H22" s="17">
        <f>+H21+'32PMC'!H19</f>
        <v>652077</v>
      </c>
      <c r="I22" s="33">
        <f>+I21+'32PMC'!I19</f>
        <v>4929768</v>
      </c>
    </row>
    <row r="23" spans="1:9" ht="12.75">
      <c r="A23" s="32" t="s">
        <v>31</v>
      </c>
      <c r="B23" s="17">
        <f>+B22+'32PMC'!B20</f>
        <v>2270444</v>
      </c>
      <c r="C23" s="14">
        <f>+C22+'32PMC'!C20</f>
        <v>16963337</v>
      </c>
      <c r="D23" s="17">
        <f>+D22+'32PMC'!D20</f>
        <v>19650047</v>
      </c>
      <c r="E23" s="14">
        <f>+E22+'32PMC'!E20</f>
        <v>143616444</v>
      </c>
      <c r="F23" s="17">
        <f>+F22+'32PMC'!F20</f>
        <v>873941</v>
      </c>
      <c r="G23" s="301">
        <f>+G22+'32PMC'!G20</f>
        <v>6688437</v>
      </c>
      <c r="H23" s="17">
        <f>+H22+'32PMC'!H20</f>
        <v>654866</v>
      </c>
      <c r="I23" s="33">
        <f>+I22+'32PMC'!I20</f>
        <v>4950993</v>
      </c>
    </row>
    <row r="24" spans="1:9" ht="13.5" thickBot="1">
      <c r="A24" s="35"/>
      <c r="B24" s="37"/>
      <c r="C24" s="36"/>
      <c r="D24" s="36"/>
      <c r="E24" s="36"/>
      <c r="F24" s="37"/>
      <c r="G24" s="302"/>
      <c r="H24" s="37"/>
      <c r="I24" s="38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&amp;L&amp;9]&amp;C3.3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4"/>
  <sheetViews>
    <sheetView workbookViewId="0" topLeftCell="A34">
      <selection activeCell="B24" sqref="A24:IV24"/>
    </sheetView>
  </sheetViews>
  <sheetFormatPr defaultColWidth="11.421875" defaultRowHeight="12.75"/>
  <cols>
    <col min="1" max="1" width="18.28125" style="0" customWidth="1"/>
    <col min="2" max="2" width="1.7109375" style="0" customWidth="1"/>
    <col min="3" max="3" width="11.7109375" style="106" customWidth="1"/>
    <col min="4" max="4" width="14.7109375" style="106" customWidth="1"/>
    <col min="5" max="5" width="11.7109375" style="106" customWidth="1"/>
    <col min="6" max="6" width="8.7109375" style="106" customWidth="1"/>
    <col min="7" max="7" width="1.7109375" style="106" customWidth="1"/>
    <col min="8" max="8" width="13.7109375" style="106" customWidth="1"/>
    <col min="9" max="9" width="14.7109375" style="106" customWidth="1"/>
    <col min="10" max="10" width="12.7109375" style="106" customWidth="1"/>
    <col min="11" max="11" width="8.7109375" style="106" customWidth="1"/>
    <col min="12" max="12" width="1.7109375" style="106" customWidth="1"/>
    <col min="13" max="13" width="12.7109375" style="106" customWidth="1"/>
    <col min="14" max="16" width="11.421875" style="106" customWidth="1"/>
  </cols>
  <sheetData>
    <row r="2" ht="15.75">
      <c r="A2" s="100" t="s">
        <v>123</v>
      </c>
    </row>
    <row r="5" spans="1:249" s="101" customFormat="1" ht="12.75">
      <c r="A5" s="102"/>
      <c r="B5" s="10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</row>
    <row r="6" spans="1:249" s="101" customFormat="1" ht="12.75">
      <c r="A6" s="102"/>
      <c r="B6" s="10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</row>
    <row r="7" spans="1:249" s="101" customFormat="1" ht="13.5" thickBot="1">
      <c r="A7" s="105"/>
      <c r="B7" s="10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45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</row>
    <row r="8" spans="1:249" s="101" customFormat="1" ht="13.5" thickTop="1">
      <c r="A8" s="113"/>
      <c r="B8" s="114"/>
      <c r="C8" s="115"/>
      <c r="D8" s="116"/>
      <c r="E8" s="116"/>
      <c r="F8" s="116"/>
      <c r="G8" s="116"/>
      <c r="H8" s="115"/>
      <c r="I8" s="116"/>
      <c r="J8" s="116"/>
      <c r="K8" s="116"/>
      <c r="L8" s="116"/>
      <c r="M8" s="117"/>
      <c r="N8" s="2"/>
      <c r="O8" s="45"/>
      <c r="P8" s="45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</row>
    <row r="9" spans="1:249" s="101" customFormat="1" ht="12.75">
      <c r="A9" s="142" t="s">
        <v>1</v>
      </c>
      <c r="B9" s="130"/>
      <c r="C9" s="131" t="s">
        <v>120</v>
      </c>
      <c r="D9" s="132"/>
      <c r="E9" s="132"/>
      <c r="F9" s="132"/>
      <c r="G9" s="51"/>
      <c r="H9" s="131" t="s">
        <v>124</v>
      </c>
      <c r="I9" s="132"/>
      <c r="J9" s="132"/>
      <c r="K9" s="132"/>
      <c r="L9" s="51"/>
      <c r="M9" s="133" t="s">
        <v>2</v>
      </c>
      <c r="N9" s="2"/>
      <c r="O9" s="45"/>
      <c r="P9" s="45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</row>
    <row r="10" spans="1:249" s="101" customFormat="1" ht="14.25">
      <c r="A10" s="143" t="s">
        <v>3</v>
      </c>
      <c r="B10" s="134"/>
      <c r="C10" s="135" t="s">
        <v>81</v>
      </c>
      <c r="D10" s="135" t="s">
        <v>33</v>
      </c>
      <c r="E10" s="136" t="s">
        <v>34</v>
      </c>
      <c r="F10" s="135" t="s">
        <v>90</v>
      </c>
      <c r="G10" s="137"/>
      <c r="H10" s="135" t="s">
        <v>81</v>
      </c>
      <c r="I10" s="135" t="s">
        <v>33</v>
      </c>
      <c r="J10" s="135" t="s">
        <v>34</v>
      </c>
      <c r="K10" s="135" t="s">
        <v>90</v>
      </c>
      <c r="L10" s="137"/>
      <c r="M10" s="138" t="s">
        <v>35</v>
      </c>
      <c r="N10" s="2"/>
      <c r="O10" s="45"/>
      <c r="P10" s="45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</row>
    <row r="11" spans="1:249" s="101" customFormat="1" ht="12.75">
      <c r="A11" s="121"/>
      <c r="B11" s="102"/>
      <c r="C11" s="2"/>
      <c r="D11" s="2"/>
      <c r="E11" s="2"/>
      <c r="F11" s="2"/>
      <c r="G11" s="45"/>
      <c r="H11" s="2"/>
      <c r="I11" s="2"/>
      <c r="J11" s="2"/>
      <c r="K11" s="2"/>
      <c r="L11" s="45"/>
      <c r="M11" s="47"/>
      <c r="N11" s="2"/>
      <c r="O11" s="45"/>
      <c r="P11" s="45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</row>
    <row r="12" spans="1:249" s="101" customFormat="1" ht="12.75">
      <c r="A12" s="118" t="s">
        <v>99</v>
      </c>
      <c r="B12" s="102"/>
      <c r="C12" s="107">
        <f>+'35PMG'!C19</f>
        <v>6372397</v>
      </c>
      <c r="D12" s="107">
        <f>C12*9.45</f>
        <v>60219151.65</v>
      </c>
      <c r="E12" s="60">
        <f>ROUND(C12*0.00085,1)</f>
        <v>5416.5</v>
      </c>
      <c r="F12" s="103">
        <f>E12/E$22</f>
        <v>0.03724059978232486</v>
      </c>
      <c r="G12" s="45"/>
      <c r="H12" s="107">
        <f>+'35PMG'!C60</f>
        <v>1053592977</v>
      </c>
      <c r="I12" s="107">
        <f>H12*9.45</f>
        <v>9956453632.65</v>
      </c>
      <c r="J12" s="107">
        <f>ROUND(H12*0.00085,0)</f>
        <v>895554</v>
      </c>
      <c r="K12" s="109">
        <f>J12/J$22</f>
        <v>0.33612715537221166</v>
      </c>
      <c r="L12" s="45"/>
      <c r="M12" s="119" t="s">
        <v>164</v>
      </c>
      <c r="N12" s="2"/>
      <c r="O12" s="45"/>
      <c r="P12" s="45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</row>
    <row r="13" spans="1:249" s="101" customFormat="1" ht="12.75">
      <c r="A13" s="118"/>
      <c r="B13" s="102"/>
      <c r="C13" s="107"/>
      <c r="D13" s="107"/>
      <c r="E13" s="60"/>
      <c r="F13" s="103"/>
      <c r="G13" s="45"/>
      <c r="H13" s="107"/>
      <c r="I13" s="107"/>
      <c r="J13" s="107"/>
      <c r="K13" s="109"/>
      <c r="L13" s="45"/>
      <c r="M13" s="119"/>
      <c r="N13" s="2"/>
      <c r="O13" s="45"/>
      <c r="P13" s="4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</row>
    <row r="14" spans="1:249" s="101" customFormat="1" ht="12.75">
      <c r="A14" s="121" t="s">
        <v>125</v>
      </c>
      <c r="B14" s="102"/>
      <c r="C14" s="2">
        <f>+'35PMG'!D19</f>
        <v>140775447</v>
      </c>
      <c r="D14" s="107">
        <f>C14*9.5</f>
        <v>1337366746.5</v>
      </c>
      <c r="E14" s="60">
        <f>ROUND(C14*0.00085,1)</f>
        <v>119659.1</v>
      </c>
      <c r="F14" s="103">
        <f>E14/E$22</f>
        <v>0.8227040807556889</v>
      </c>
      <c r="G14" s="45"/>
      <c r="H14" s="2">
        <f>+'35PMG'!D60</f>
        <v>1905351285</v>
      </c>
      <c r="I14" s="2">
        <f>+H14*9.5</f>
        <v>18100837207.5</v>
      </c>
      <c r="J14" s="107">
        <f>ROUND(H14*0.00085,0)</f>
        <v>1619549</v>
      </c>
      <c r="K14" s="109">
        <f>J14/J$22</f>
        <v>0.607863287256726</v>
      </c>
      <c r="L14" s="45"/>
      <c r="M14" s="119" t="s">
        <v>6</v>
      </c>
      <c r="N14" s="2"/>
      <c r="O14" s="45"/>
      <c r="P14" s="45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</row>
    <row r="15" spans="1:249" s="101" customFormat="1" ht="12.75">
      <c r="A15" s="121"/>
      <c r="B15" s="102"/>
      <c r="C15" s="2"/>
      <c r="D15" s="107"/>
      <c r="E15" s="60"/>
      <c r="F15" s="103"/>
      <c r="G15" s="45"/>
      <c r="H15" s="2"/>
      <c r="I15" s="2"/>
      <c r="J15" s="107"/>
      <c r="K15" s="109"/>
      <c r="L15" s="45"/>
      <c r="M15" s="119"/>
      <c r="N15" s="2"/>
      <c r="O15" s="45"/>
      <c r="P15" s="45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</row>
    <row r="16" spans="1:249" s="101" customFormat="1" ht="12.75">
      <c r="A16" s="121" t="s">
        <v>112</v>
      </c>
      <c r="B16" s="102"/>
      <c r="C16" s="2">
        <f>+'35PMG'!E19</f>
        <v>4350126</v>
      </c>
      <c r="D16" s="107">
        <f>C16*9.19</f>
        <v>39977657.94</v>
      </c>
      <c r="E16" s="60">
        <f>ROUND(C16*0.00085,1)</f>
        <v>3697.6</v>
      </c>
      <c r="F16" s="103">
        <f>E16/E$22</f>
        <v>0.02542247609251812</v>
      </c>
      <c r="G16" s="45"/>
      <c r="H16" s="2">
        <f>+'35PMG'!E60</f>
        <v>44943621</v>
      </c>
      <c r="I16" s="2">
        <f>+H16*9.19</f>
        <v>413031876.98999995</v>
      </c>
      <c r="J16" s="107">
        <f>ROUND(H16*0.00085,0)</f>
        <v>38202</v>
      </c>
      <c r="K16" s="109">
        <f>J16/J$22</f>
        <v>0.014338308566015258</v>
      </c>
      <c r="L16" s="45"/>
      <c r="M16" s="119" t="s">
        <v>84</v>
      </c>
      <c r="N16" s="2"/>
      <c r="O16" s="45"/>
      <c r="P16" s="45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</row>
    <row r="17" spans="1:249" s="101" customFormat="1" ht="12.75">
      <c r="A17" s="121"/>
      <c r="B17" s="102"/>
      <c r="C17" s="2"/>
      <c r="D17" s="107"/>
      <c r="E17" s="60"/>
      <c r="F17" s="103"/>
      <c r="G17" s="45"/>
      <c r="H17" s="2"/>
      <c r="I17" s="2"/>
      <c r="J17" s="107"/>
      <c r="K17" s="109"/>
      <c r="L17" s="45"/>
      <c r="M17" s="119"/>
      <c r="N17" s="2"/>
      <c r="O17" s="45"/>
      <c r="P17" s="45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</row>
    <row r="18" spans="1:249" s="101" customFormat="1" ht="12.75">
      <c r="A18" s="121" t="s">
        <v>98</v>
      </c>
      <c r="B18" s="102"/>
      <c r="C18" s="2">
        <f>+'35PMG'!F19</f>
        <v>3352752</v>
      </c>
      <c r="D18" s="107">
        <f>C18*9.083</f>
        <v>30453046.416</v>
      </c>
      <c r="E18" s="60">
        <f>ROUND(C18*0.00085,1)</f>
        <v>2849.8</v>
      </c>
      <c r="F18" s="103">
        <f>E18/E$22</f>
        <v>0.019593512648328145</v>
      </c>
      <c r="G18" s="45"/>
      <c r="H18" s="2">
        <f>+'35PMG'!F60</f>
        <v>69579842</v>
      </c>
      <c r="I18" s="2">
        <f>+H18*9.083</f>
        <v>631993704.886</v>
      </c>
      <c r="J18" s="107">
        <f>ROUND(H18*0.00085,0)</f>
        <v>59143</v>
      </c>
      <c r="K18" s="109">
        <f>J18/J$22</f>
        <v>0.02219806773257527</v>
      </c>
      <c r="L18" s="45"/>
      <c r="M18" s="119" t="s">
        <v>84</v>
      </c>
      <c r="N18" s="2"/>
      <c r="O18" s="45"/>
      <c r="P18" s="45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</row>
    <row r="19" spans="1:249" s="101" customFormat="1" ht="12.75">
      <c r="A19" s="121"/>
      <c r="B19" s="102"/>
      <c r="C19" s="2"/>
      <c r="D19" s="107"/>
      <c r="E19" s="60"/>
      <c r="F19" s="103"/>
      <c r="G19" s="45"/>
      <c r="H19" s="2"/>
      <c r="I19" s="2"/>
      <c r="J19" s="107"/>
      <c r="K19" s="109"/>
      <c r="L19" s="45"/>
      <c r="M19" s="119"/>
      <c r="N19" s="2"/>
      <c r="O19" s="45"/>
      <c r="P19" s="45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</row>
    <row r="20" spans="1:249" s="101" customFormat="1" ht="12.75">
      <c r="A20" s="121" t="s">
        <v>141</v>
      </c>
      <c r="B20" s="102"/>
      <c r="C20" s="2">
        <f>+'35PMG'!G19</f>
        <v>16262438</v>
      </c>
      <c r="D20" s="107">
        <f>C20*9.1</f>
        <v>147988185.79999998</v>
      </c>
      <c r="E20" s="60">
        <f>ROUND(C20*0.00085,1)</f>
        <v>13823.1</v>
      </c>
      <c r="F20" s="103">
        <f>E20/E$22</f>
        <v>0.09503933072114</v>
      </c>
      <c r="G20" s="45"/>
      <c r="H20" s="2">
        <f>+'35PMG'!G60</f>
        <v>61038831</v>
      </c>
      <c r="I20" s="107">
        <f>H20*9.1</f>
        <v>555453362.1</v>
      </c>
      <c r="J20" s="107">
        <f>ROUND(H20*0.00085,0)</f>
        <v>51883</v>
      </c>
      <c r="K20" s="109">
        <f>J20/J$22</f>
        <v>0.01947318107247185</v>
      </c>
      <c r="L20" s="45"/>
      <c r="M20" s="119" t="s">
        <v>164</v>
      </c>
      <c r="N20" s="2"/>
      <c r="O20" s="45"/>
      <c r="P20" s="45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</row>
    <row r="21" spans="1:249" s="101" customFormat="1" ht="12.75">
      <c r="A21" s="121"/>
      <c r="B21" s="102"/>
      <c r="C21" s="2"/>
      <c r="D21" s="2"/>
      <c r="E21" s="57"/>
      <c r="F21" s="108"/>
      <c r="G21" s="45"/>
      <c r="H21" s="2"/>
      <c r="I21" s="2"/>
      <c r="J21" s="2"/>
      <c r="K21" s="110"/>
      <c r="L21" s="45"/>
      <c r="M21" s="47"/>
      <c r="N21" s="2"/>
      <c r="O21" s="45"/>
      <c r="P21" s="45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</row>
    <row r="22" spans="1:249" s="101" customFormat="1" ht="12.75">
      <c r="A22" s="126" t="s">
        <v>14</v>
      </c>
      <c r="B22" s="127"/>
      <c r="C22" s="139">
        <f>SUM(C12:C21)</f>
        <v>171113160</v>
      </c>
      <c r="D22" s="139">
        <f>SUM(D12:D21)</f>
        <v>1616004788.306</v>
      </c>
      <c r="E22" s="140">
        <f>SUM(E12:E21)</f>
        <v>145446.1</v>
      </c>
      <c r="F22" s="141">
        <f>SUM(F12:F21)</f>
        <v>1</v>
      </c>
      <c r="G22" s="128"/>
      <c r="H22" s="139">
        <f>SUM(H12:H21)</f>
        <v>3134506556</v>
      </c>
      <c r="I22" s="139">
        <f>SUM(I12:I21)</f>
        <v>29657769784.126003</v>
      </c>
      <c r="J22" s="139">
        <f>SUM(J12:J21)</f>
        <v>2664331</v>
      </c>
      <c r="K22" s="141">
        <f>SUM(K12:K21)</f>
        <v>1</v>
      </c>
      <c r="L22" s="128"/>
      <c r="M22" s="129" t="s">
        <v>15</v>
      </c>
      <c r="N22" s="2"/>
      <c r="O22" s="45"/>
      <c r="P22" s="45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</row>
    <row r="23" spans="1:249" s="101" customFormat="1" ht="12.75">
      <c r="A23" s="118"/>
      <c r="B23" s="102"/>
      <c r="C23" s="107"/>
      <c r="D23" s="107"/>
      <c r="E23" s="107"/>
      <c r="F23" s="103"/>
      <c r="G23" s="45"/>
      <c r="H23" s="107"/>
      <c r="I23" s="107"/>
      <c r="J23" s="107"/>
      <c r="K23" s="103"/>
      <c r="L23" s="45"/>
      <c r="M23" s="119"/>
      <c r="N23" s="2"/>
      <c r="O23" s="45"/>
      <c r="P23" s="45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</row>
    <row r="24" spans="1:249" s="101" customFormat="1" ht="12.75">
      <c r="A24" s="331" t="s">
        <v>170</v>
      </c>
      <c r="B24" s="104"/>
      <c r="C24" s="107"/>
      <c r="D24" s="107"/>
      <c r="E24" s="107"/>
      <c r="F24" s="103"/>
      <c r="G24" s="45"/>
      <c r="H24" s="107"/>
      <c r="I24" s="107"/>
      <c r="J24" s="107"/>
      <c r="K24" s="103"/>
      <c r="L24" s="45"/>
      <c r="M24" s="119"/>
      <c r="N24" s="2"/>
      <c r="O24" s="45"/>
      <c r="P24" s="45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</row>
    <row r="25" spans="1:249" s="101" customFormat="1" ht="13.5" thickBot="1">
      <c r="A25" s="122"/>
      <c r="B25" s="123"/>
      <c r="C25" s="124"/>
      <c r="D25" s="124"/>
      <c r="E25" s="125"/>
      <c r="F25" s="124"/>
      <c r="G25" s="124"/>
      <c r="H25" s="124"/>
      <c r="I25" s="124"/>
      <c r="J25" s="124"/>
      <c r="K25" s="124"/>
      <c r="L25" s="124"/>
      <c r="M25" s="48"/>
      <c r="N25" s="2"/>
      <c r="O25" s="45"/>
      <c r="P25" s="45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</row>
    <row r="26" spans="1:249" s="101" customFormat="1" ht="13.5" thickTop="1">
      <c r="A26" s="105"/>
      <c r="B26" s="102"/>
      <c r="C26" s="45"/>
      <c r="D26" s="45"/>
      <c r="E26" s="107"/>
      <c r="F26" s="45"/>
      <c r="G26" s="45"/>
      <c r="H26" s="45"/>
      <c r="I26" s="45"/>
      <c r="J26" s="45"/>
      <c r="K26" s="45"/>
      <c r="L26" s="45"/>
      <c r="M26" s="45"/>
      <c r="N26" s="2"/>
      <c r="O26" s="45"/>
      <c r="P26" s="45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</row>
    <row r="27" spans="1:249" s="101" customFormat="1" ht="12.75">
      <c r="A27" s="330" t="s">
        <v>97</v>
      </c>
      <c r="B27" s="56" t="s">
        <v>104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5"/>
      <c r="O27" s="45"/>
      <c r="P27" s="45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</row>
    <row r="28" spans="1:249" s="101" customFormat="1" ht="12.75">
      <c r="A28" s="330"/>
      <c r="B28" s="5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</row>
    <row r="29" spans="1:249" s="101" customFormat="1" ht="12.75">
      <c r="A29" s="327" t="s">
        <v>93</v>
      </c>
      <c r="B29" s="56" t="s">
        <v>105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</row>
    <row r="30" spans="1:16" s="101" customFormat="1" ht="12.75">
      <c r="A30" s="327"/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01" customFormat="1" ht="12.75">
      <c r="A31" s="327" t="s">
        <v>94</v>
      </c>
      <c r="B31" s="56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01" customFormat="1" ht="12.75">
      <c r="A32" s="327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01" customFormat="1" ht="12.75">
      <c r="A33" s="327" t="s">
        <v>95</v>
      </c>
      <c r="B33" s="56" t="s">
        <v>107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01" customFormat="1" ht="12.75">
      <c r="A34" s="327"/>
      <c r="B34" s="5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01" customFormat="1" ht="12.75">
      <c r="A35" s="327" t="s">
        <v>96</v>
      </c>
      <c r="B35" s="56" t="s">
        <v>106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s="101" customFormat="1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01" customFormat="1" ht="12.75">
      <c r="A37" s="327" t="s">
        <v>142</v>
      </c>
      <c r="B37" s="101" t="s">
        <v>143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s="101" customFormat="1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s="101" customFormat="1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s="101" customFormat="1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s="101" customFormat="1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s="101" customFormat="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01" customFormat="1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s="101" customFormat="1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r:id="rId1"/>
  <headerFooter alignWithMargins="0">
    <oddFooter>&amp;C&amp;9 3.4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64"/>
  <sheetViews>
    <sheetView workbookViewId="0" topLeftCell="A49">
      <selection activeCell="G64" sqref="G64"/>
    </sheetView>
  </sheetViews>
  <sheetFormatPr defaultColWidth="11.421875" defaultRowHeight="12" customHeight="1"/>
  <cols>
    <col min="1" max="1" width="1.7109375" style="349" customWidth="1"/>
    <col min="2" max="2" width="23.00390625" style="349" customWidth="1"/>
    <col min="3" max="4" width="12.7109375" style="349" customWidth="1"/>
    <col min="5" max="5" width="11.7109375" style="349" customWidth="1"/>
    <col min="6" max="6" width="13.7109375" style="349" customWidth="1"/>
    <col min="7" max="7" width="11.7109375" style="349" customWidth="1"/>
    <col min="8" max="16384" width="11.421875" style="349" customWidth="1"/>
  </cols>
  <sheetData>
    <row r="1" spans="2:7" ht="15.75" customHeight="1">
      <c r="B1" s="354" t="s">
        <v>127</v>
      </c>
      <c r="C1" s="354"/>
      <c r="D1" s="354"/>
      <c r="E1" s="354"/>
      <c r="F1" s="354"/>
      <c r="G1" s="355"/>
    </row>
    <row r="4" ht="12" customHeight="1" thickBot="1"/>
    <row r="5" spans="2:8" ht="12" customHeight="1" thickTop="1">
      <c r="B5" s="356"/>
      <c r="C5" s="357" t="s">
        <v>36</v>
      </c>
      <c r="D5" s="357" t="s">
        <v>128</v>
      </c>
      <c r="E5" s="357" t="s">
        <v>82</v>
      </c>
      <c r="F5" s="358" t="s">
        <v>83</v>
      </c>
      <c r="G5" s="358" t="s">
        <v>145</v>
      </c>
      <c r="H5" s="359" t="s">
        <v>14</v>
      </c>
    </row>
    <row r="6" spans="2:8" ht="12" customHeight="1">
      <c r="B6" s="360"/>
      <c r="C6" s="361" t="s">
        <v>144</v>
      </c>
      <c r="D6" s="361" t="s">
        <v>144</v>
      </c>
      <c r="E6" s="361" t="s">
        <v>144</v>
      </c>
      <c r="F6" s="361" t="s">
        <v>144</v>
      </c>
      <c r="G6" s="361" t="s">
        <v>144</v>
      </c>
      <c r="H6" s="362" t="s">
        <v>144</v>
      </c>
    </row>
    <row r="7" spans="2:8" ht="12" customHeight="1">
      <c r="B7" s="363" t="s">
        <v>20</v>
      </c>
      <c r="C7" s="385">
        <f>1753823+0</f>
        <v>1753823</v>
      </c>
      <c r="D7" s="385">
        <v>15832820</v>
      </c>
      <c r="E7" s="385">
        <f>405555+4330</f>
        <v>409885</v>
      </c>
      <c r="F7" s="386">
        <f>50294+177216</f>
        <v>227510</v>
      </c>
      <c r="G7" s="364">
        <v>1414768</v>
      </c>
      <c r="H7" s="365">
        <f aca="true" t="shared" si="0" ref="H7:H18">SUM(C7:G7)</f>
        <v>19638806</v>
      </c>
    </row>
    <row r="8" spans="2:8" ht="12" customHeight="1">
      <c r="B8" s="345" t="s">
        <v>21</v>
      </c>
      <c r="C8" s="387">
        <f>220006+0</f>
        <v>220006</v>
      </c>
      <c r="D8" s="387">
        <v>12207676</v>
      </c>
      <c r="E8" s="385">
        <f>234864+358</f>
        <v>235222</v>
      </c>
      <c r="F8" s="386">
        <f>65752+159609</f>
        <v>225361</v>
      </c>
      <c r="G8" s="347">
        <v>1380389</v>
      </c>
      <c r="H8" s="365">
        <f t="shared" si="0"/>
        <v>14268654</v>
      </c>
    </row>
    <row r="9" spans="2:8" ht="12" customHeight="1">
      <c r="B9" s="345" t="s">
        <v>22</v>
      </c>
      <c r="C9" s="387">
        <v>2836363</v>
      </c>
      <c r="D9" s="387">
        <v>13756715</v>
      </c>
      <c r="E9" s="385">
        <f>409485+7334</f>
        <v>416819</v>
      </c>
      <c r="F9" s="386">
        <f>110512+176391</f>
        <v>286903</v>
      </c>
      <c r="G9" s="347">
        <v>1502560</v>
      </c>
      <c r="H9" s="365">
        <f t="shared" si="0"/>
        <v>18799360</v>
      </c>
    </row>
    <row r="10" spans="2:8" ht="12" customHeight="1">
      <c r="B10" s="345" t="s">
        <v>23</v>
      </c>
      <c r="C10" s="389">
        <v>1426425</v>
      </c>
      <c r="D10" s="389">
        <v>13434488</v>
      </c>
      <c r="E10" s="387">
        <v>396541</v>
      </c>
      <c r="F10" s="390">
        <v>288996</v>
      </c>
      <c r="G10" s="346">
        <v>1479787</v>
      </c>
      <c r="H10" s="365">
        <f t="shared" si="0"/>
        <v>17026237</v>
      </c>
    </row>
    <row r="11" spans="2:8" ht="12" customHeight="1">
      <c r="B11" s="366" t="s">
        <v>24</v>
      </c>
      <c r="C11" s="389">
        <v>0</v>
      </c>
      <c r="D11" s="387">
        <v>13994533</v>
      </c>
      <c r="E11" s="387">
        <v>407964</v>
      </c>
      <c r="F11" s="388">
        <v>287513</v>
      </c>
      <c r="G11" s="347">
        <v>1477522</v>
      </c>
      <c r="H11" s="348">
        <f t="shared" si="0"/>
        <v>16167532</v>
      </c>
    </row>
    <row r="12" spans="2:8" ht="12" customHeight="1">
      <c r="B12" s="366" t="s">
        <v>25</v>
      </c>
      <c r="C12" s="347">
        <v>0</v>
      </c>
      <c r="D12" s="347">
        <v>13409227</v>
      </c>
      <c r="E12" s="347">
        <v>387419</v>
      </c>
      <c r="F12" s="386">
        <f>131191+169256</f>
        <v>300447</v>
      </c>
      <c r="G12" s="347">
        <v>1350680</v>
      </c>
      <c r="H12" s="348">
        <f t="shared" si="0"/>
        <v>15447773</v>
      </c>
    </row>
    <row r="13" spans="2:8" ht="12" customHeight="1">
      <c r="B13" s="366" t="s">
        <v>26</v>
      </c>
      <c r="C13" s="347">
        <v>0</v>
      </c>
      <c r="D13" s="347">
        <v>9395399</v>
      </c>
      <c r="E13" s="347">
        <v>358013</v>
      </c>
      <c r="F13" s="386">
        <f>108742+175392</f>
        <v>284134</v>
      </c>
      <c r="G13" s="347">
        <v>1488601</v>
      </c>
      <c r="H13" s="348">
        <f t="shared" si="0"/>
        <v>11526147</v>
      </c>
    </row>
    <row r="14" spans="2:8" ht="12" customHeight="1">
      <c r="B14" s="366" t="s">
        <v>27</v>
      </c>
      <c r="C14" s="347">
        <v>0</v>
      </c>
      <c r="D14" s="347">
        <v>9930941</v>
      </c>
      <c r="E14" s="347">
        <v>373549</v>
      </c>
      <c r="F14" s="386">
        <f>124918+175984</f>
        <v>300902</v>
      </c>
      <c r="G14" s="347">
        <v>1209458</v>
      </c>
      <c r="H14" s="348">
        <f t="shared" si="0"/>
        <v>11814850</v>
      </c>
    </row>
    <row r="15" spans="2:8" ht="12" customHeight="1">
      <c r="B15" s="366" t="s">
        <v>28</v>
      </c>
      <c r="C15" s="347">
        <v>0</v>
      </c>
      <c r="D15" s="347">
        <v>9626120</v>
      </c>
      <c r="E15" s="347">
        <v>333755</v>
      </c>
      <c r="F15" s="386">
        <f>137065+169868</f>
        <v>306933</v>
      </c>
      <c r="G15" s="347">
        <v>1195634</v>
      </c>
      <c r="H15" s="348">
        <f t="shared" si="0"/>
        <v>11462442</v>
      </c>
    </row>
    <row r="16" spans="2:8" ht="12" customHeight="1">
      <c r="B16" s="366" t="s">
        <v>29</v>
      </c>
      <c r="C16" s="347">
        <v>0</v>
      </c>
      <c r="D16" s="347">
        <v>9917818</v>
      </c>
      <c r="E16" s="347">
        <v>353562</v>
      </c>
      <c r="F16" s="386">
        <f>105262+175260</f>
        <v>280522</v>
      </c>
      <c r="G16" s="347">
        <v>1036914</v>
      </c>
      <c r="H16" s="348">
        <f t="shared" si="0"/>
        <v>11588816</v>
      </c>
    </row>
    <row r="17" spans="2:8" ht="12" customHeight="1">
      <c r="B17" s="366" t="s">
        <v>30</v>
      </c>
      <c r="C17" s="347">
        <f>123505+12275</f>
        <v>135780</v>
      </c>
      <c r="D17" s="347">
        <v>9654914</v>
      </c>
      <c r="E17" s="347">
        <v>288842</v>
      </c>
      <c r="F17" s="386">
        <f>124736+168664</f>
        <v>293400</v>
      </c>
      <c r="G17" s="347">
        <v>1469442</v>
      </c>
      <c r="H17" s="348">
        <f t="shared" si="0"/>
        <v>11842378</v>
      </c>
    </row>
    <row r="18" spans="2:8" ht="12" customHeight="1">
      <c r="B18" s="366" t="s">
        <v>31</v>
      </c>
      <c r="C18" s="347">
        <v>0</v>
      </c>
      <c r="D18" s="347">
        <v>9614796</v>
      </c>
      <c r="E18" s="347">
        <v>388555</v>
      </c>
      <c r="F18" s="386">
        <f>94591+175540</f>
        <v>270131</v>
      </c>
      <c r="G18" s="367">
        <v>1256683</v>
      </c>
      <c r="H18" s="348">
        <f t="shared" si="0"/>
        <v>11530165</v>
      </c>
    </row>
    <row r="19" spans="2:8" ht="12" customHeight="1" thickBot="1">
      <c r="B19" s="368" t="s">
        <v>14</v>
      </c>
      <c r="C19" s="369">
        <f aca="true" t="shared" si="1" ref="C19:H19">SUM(C7:C18)</f>
        <v>6372397</v>
      </c>
      <c r="D19" s="369">
        <f t="shared" si="1"/>
        <v>140775447</v>
      </c>
      <c r="E19" s="369">
        <f t="shared" si="1"/>
        <v>4350126</v>
      </c>
      <c r="F19" s="370">
        <f t="shared" si="1"/>
        <v>3352752</v>
      </c>
      <c r="G19" s="370">
        <f t="shared" si="1"/>
        <v>16262438</v>
      </c>
      <c r="H19" s="371">
        <f t="shared" si="1"/>
        <v>171113160</v>
      </c>
    </row>
    <row r="20" spans="2:7" ht="12" customHeight="1" thickTop="1">
      <c r="B20" s="372"/>
      <c r="C20" s="372"/>
      <c r="D20" s="372"/>
      <c r="E20" s="372"/>
      <c r="F20" s="372"/>
      <c r="G20" s="372"/>
    </row>
    <row r="21" spans="2:7" ht="12" customHeight="1">
      <c r="B21" s="372"/>
      <c r="C21" s="372"/>
      <c r="D21" s="372"/>
      <c r="E21" s="372"/>
      <c r="F21" s="372"/>
      <c r="G21" s="372"/>
    </row>
    <row r="22" spans="2:7" ht="12" customHeight="1">
      <c r="B22" s="372"/>
      <c r="C22" s="372"/>
      <c r="D22" s="372"/>
      <c r="E22" s="372"/>
      <c r="F22" s="372"/>
      <c r="G22" s="372"/>
    </row>
    <row r="23" spans="2:7" ht="12" customHeight="1">
      <c r="B23" s="372"/>
      <c r="C23" s="372"/>
      <c r="D23" s="372"/>
      <c r="E23" s="372"/>
      <c r="F23" s="372"/>
      <c r="G23" s="372"/>
    </row>
    <row r="24" spans="2:7" ht="12" customHeight="1">
      <c r="B24" s="372"/>
      <c r="C24" s="372"/>
      <c r="D24" s="372"/>
      <c r="E24" s="372"/>
      <c r="F24" s="372"/>
      <c r="G24" s="372"/>
    </row>
    <row r="25" spans="2:7" ht="12" customHeight="1">
      <c r="B25" s="372"/>
      <c r="C25" s="372"/>
      <c r="D25" s="372"/>
      <c r="E25" s="372"/>
      <c r="F25" s="372"/>
      <c r="G25" s="372"/>
    </row>
    <row r="26" spans="2:7" ht="12" customHeight="1">
      <c r="B26" s="372"/>
      <c r="C26" s="372"/>
      <c r="D26" s="372"/>
      <c r="E26" s="372"/>
      <c r="F26" s="372"/>
      <c r="G26" s="372"/>
    </row>
    <row r="27" spans="2:7" ht="12" customHeight="1">
      <c r="B27" s="372"/>
      <c r="C27" s="372"/>
      <c r="D27" s="372"/>
      <c r="E27" s="372"/>
      <c r="F27" s="372"/>
      <c r="G27" s="372"/>
    </row>
    <row r="28" spans="2:7" ht="12" customHeight="1">
      <c r="B28" s="372"/>
      <c r="C28" s="372"/>
      <c r="D28" s="372"/>
      <c r="E28" s="372"/>
      <c r="F28" s="372"/>
      <c r="G28" s="372"/>
    </row>
    <row r="29" spans="2:7" ht="12" customHeight="1">
      <c r="B29" s="372"/>
      <c r="C29" s="372"/>
      <c r="D29" s="372"/>
      <c r="E29" s="372"/>
      <c r="F29" s="372"/>
      <c r="G29" s="372"/>
    </row>
    <row r="30" spans="2:7" ht="12" customHeight="1">
      <c r="B30" s="372"/>
      <c r="C30" s="372"/>
      <c r="D30" s="372"/>
      <c r="E30" s="372"/>
      <c r="F30" s="372"/>
      <c r="G30" s="372"/>
    </row>
    <row r="31" spans="2:7" ht="12" customHeight="1">
      <c r="B31" s="372"/>
      <c r="C31" s="372"/>
      <c r="D31" s="372"/>
      <c r="E31" s="372"/>
      <c r="F31" s="372"/>
      <c r="G31" s="372"/>
    </row>
    <row r="32" spans="2:7" ht="12" customHeight="1">
      <c r="B32" s="372"/>
      <c r="C32" s="372"/>
      <c r="D32" s="372"/>
      <c r="E32" s="372"/>
      <c r="F32" s="372"/>
      <c r="G32" s="372"/>
    </row>
    <row r="33" spans="2:7" ht="12" customHeight="1">
      <c r="B33" s="372"/>
      <c r="C33" s="372"/>
      <c r="D33" s="372"/>
      <c r="E33" s="372"/>
      <c r="F33" s="372"/>
      <c r="G33" s="372"/>
    </row>
    <row r="34" spans="2:7" ht="12" customHeight="1">
      <c r="B34" s="372"/>
      <c r="C34" s="372"/>
      <c r="D34" s="372"/>
      <c r="E34" s="372"/>
      <c r="F34" s="372"/>
      <c r="G34" s="372"/>
    </row>
    <row r="35" spans="2:7" ht="12" customHeight="1">
      <c r="B35" s="372"/>
      <c r="C35" s="372"/>
      <c r="D35" s="372"/>
      <c r="E35" s="372"/>
      <c r="F35" s="372"/>
      <c r="G35" s="372"/>
    </row>
    <row r="36" spans="2:7" ht="12" customHeight="1">
      <c r="B36" s="372"/>
      <c r="C36" s="372"/>
      <c r="D36" s="372"/>
      <c r="E36" s="372"/>
      <c r="F36" s="372"/>
      <c r="G36" s="372"/>
    </row>
    <row r="37" spans="2:7" ht="12" customHeight="1">
      <c r="B37" s="373"/>
      <c r="C37" s="373"/>
      <c r="D37" s="373"/>
      <c r="E37" s="373"/>
      <c r="F37" s="373"/>
      <c r="G37" s="373"/>
    </row>
    <row r="38" spans="2:7" ht="12" customHeight="1">
      <c r="B38" s="373"/>
      <c r="C38" s="373"/>
      <c r="D38" s="373"/>
      <c r="E38" s="373"/>
      <c r="F38" s="373"/>
      <c r="G38" s="373"/>
    </row>
    <row r="39" spans="2:7" ht="12" customHeight="1">
      <c r="B39" s="373"/>
      <c r="C39" s="373"/>
      <c r="D39" s="373"/>
      <c r="E39" s="373"/>
      <c r="F39" s="373"/>
      <c r="G39" s="373"/>
    </row>
    <row r="40" spans="2:7" ht="12" customHeight="1">
      <c r="B40" s="373"/>
      <c r="C40" s="373"/>
      <c r="D40" s="373"/>
      <c r="E40" s="373"/>
      <c r="F40" s="373"/>
      <c r="G40" s="373"/>
    </row>
    <row r="41" spans="2:7" ht="12" customHeight="1">
      <c r="B41" s="373"/>
      <c r="C41" s="373"/>
      <c r="D41" s="373"/>
      <c r="E41" s="373"/>
      <c r="F41" s="373"/>
      <c r="G41" s="373"/>
    </row>
    <row r="42" spans="2:7" ht="12" customHeight="1">
      <c r="B42" s="373"/>
      <c r="C42" s="373"/>
      <c r="D42" s="373"/>
      <c r="E42" s="373"/>
      <c r="F42" s="373"/>
      <c r="G42" s="373"/>
    </row>
    <row r="43" spans="2:4" ht="12" customHeight="1">
      <c r="B43" s="372"/>
      <c r="C43" s="372"/>
      <c r="D43" s="372"/>
    </row>
    <row r="44" spans="2:4" ht="12" customHeight="1" thickBot="1">
      <c r="B44" s="373"/>
      <c r="C44" s="373"/>
      <c r="D44" s="373"/>
    </row>
    <row r="45" spans="2:7" ht="12" customHeight="1" thickTop="1">
      <c r="B45" s="374"/>
      <c r="C45" s="417" t="s">
        <v>129</v>
      </c>
      <c r="D45" s="418"/>
      <c r="E45" s="418"/>
      <c r="F45" s="418"/>
      <c r="G45" s="419"/>
    </row>
    <row r="46" spans="2:7" ht="12" customHeight="1">
      <c r="B46" s="375"/>
      <c r="C46" s="376" t="s">
        <v>36</v>
      </c>
      <c r="D46" s="376" t="s">
        <v>128</v>
      </c>
      <c r="E46" s="376" t="s">
        <v>82</v>
      </c>
      <c r="F46" s="377" t="s">
        <v>83</v>
      </c>
      <c r="G46" s="378" t="s">
        <v>145</v>
      </c>
    </row>
    <row r="47" spans="2:7" ht="12" customHeight="1">
      <c r="B47" s="379"/>
      <c r="C47" s="361" t="s">
        <v>144</v>
      </c>
      <c r="D47" s="361" t="s">
        <v>144</v>
      </c>
      <c r="E47" s="361" t="s">
        <v>144</v>
      </c>
      <c r="F47" s="380" t="s">
        <v>144</v>
      </c>
      <c r="G47" s="362" t="s">
        <v>144</v>
      </c>
    </row>
    <row r="48" spans="2:7" ht="12" customHeight="1">
      <c r="B48" s="391" t="s">
        <v>154</v>
      </c>
      <c r="C48" s="385">
        <v>1047220580</v>
      </c>
      <c r="D48" s="385">
        <v>1764575838</v>
      </c>
      <c r="E48" s="385">
        <v>40593495</v>
      </c>
      <c r="F48" s="392">
        <v>66227090</v>
      </c>
      <c r="G48" s="393">
        <v>44776393</v>
      </c>
    </row>
    <row r="49" spans="2:7" ht="12" customHeight="1">
      <c r="B49" s="381" t="s">
        <v>20</v>
      </c>
      <c r="C49" s="382">
        <f aca="true" t="shared" si="2" ref="C49:C60">+C48+C7</f>
        <v>1048974403</v>
      </c>
      <c r="D49" s="382">
        <f aca="true" t="shared" si="3" ref="D49:D60">+D48+D7</f>
        <v>1780408658</v>
      </c>
      <c r="E49" s="382">
        <f aca="true" t="shared" si="4" ref="E49:E60">+E48+E7</f>
        <v>41003380</v>
      </c>
      <c r="F49" s="383">
        <f aca="true" t="shared" si="5" ref="F49:G60">+F48+F7</f>
        <v>66454600</v>
      </c>
      <c r="G49" s="384">
        <f t="shared" si="5"/>
        <v>46191161</v>
      </c>
    </row>
    <row r="50" spans="2:7" ht="12" customHeight="1">
      <c r="B50" s="381" t="s">
        <v>21</v>
      </c>
      <c r="C50" s="382">
        <f t="shared" si="2"/>
        <v>1049194409</v>
      </c>
      <c r="D50" s="382">
        <f t="shared" si="3"/>
        <v>1792616334</v>
      </c>
      <c r="E50" s="382">
        <f t="shared" si="4"/>
        <v>41238602</v>
      </c>
      <c r="F50" s="383">
        <f t="shared" si="5"/>
        <v>66679961</v>
      </c>
      <c r="G50" s="384">
        <f t="shared" si="5"/>
        <v>47571550</v>
      </c>
    </row>
    <row r="51" spans="2:7" ht="12" customHeight="1">
      <c r="B51" s="381" t="s">
        <v>22</v>
      </c>
      <c r="C51" s="382">
        <f t="shared" si="2"/>
        <v>1052030772</v>
      </c>
      <c r="D51" s="382">
        <f t="shared" si="3"/>
        <v>1806373049</v>
      </c>
      <c r="E51" s="382">
        <f t="shared" si="4"/>
        <v>41655421</v>
      </c>
      <c r="F51" s="383">
        <f t="shared" si="5"/>
        <v>66966864</v>
      </c>
      <c r="G51" s="384">
        <f t="shared" si="5"/>
        <v>49074110</v>
      </c>
    </row>
    <row r="52" spans="2:7" ht="12" customHeight="1">
      <c r="B52" s="381" t="s">
        <v>23</v>
      </c>
      <c r="C52" s="382">
        <f t="shared" si="2"/>
        <v>1053457197</v>
      </c>
      <c r="D52" s="382">
        <f t="shared" si="3"/>
        <v>1819807537</v>
      </c>
      <c r="E52" s="382">
        <f t="shared" si="4"/>
        <v>42051962</v>
      </c>
      <c r="F52" s="383">
        <f t="shared" si="5"/>
        <v>67255860</v>
      </c>
      <c r="G52" s="384">
        <f aca="true" t="shared" si="6" ref="G52:G60">+G51+G10</f>
        <v>50553897</v>
      </c>
    </row>
    <row r="53" spans="2:7" ht="12" customHeight="1">
      <c r="B53" s="381" t="s">
        <v>24</v>
      </c>
      <c r="C53" s="382">
        <f t="shared" si="2"/>
        <v>1053457197</v>
      </c>
      <c r="D53" s="382">
        <f t="shared" si="3"/>
        <v>1833802070</v>
      </c>
      <c r="E53" s="382">
        <f t="shared" si="4"/>
        <v>42459926</v>
      </c>
      <c r="F53" s="383">
        <f t="shared" si="5"/>
        <v>67543373</v>
      </c>
      <c r="G53" s="384">
        <f t="shared" si="6"/>
        <v>52031419</v>
      </c>
    </row>
    <row r="54" spans="2:7" ht="12" customHeight="1">
      <c r="B54" s="381" t="s">
        <v>25</v>
      </c>
      <c r="C54" s="382">
        <f t="shared" si="2"/>
        <v>1053457197</v>
      </c>
      <c r="D54" s="382">
        <f t="shared" si="3"/>
        <v>1847211297</v>
      </c>
      <c r="E54" s="382">
        <f t="shared" si="4"/>
        <v>42847345</v>
      </c>
      <c r="F54" s="383">
        <f t="shared" si="5"/>
        <v>67843820</v>
      </c>
      <c r="G54" s="384">
        <f t="shared" si="6"/>
        <v>53382099</v>
      </c>
    </row>
    <row r="55" spans="2:7" ht="12" customHeight="1">
      <c r="B55" s="381" t="s">
        <v>26</v>
      </c>
      <c r="C55" s="382">
        <f t="shared" si="2"/>
        <v>1053457197</v>
      </c>
      <c r="D55" s="382">
        <f t="shared" si="3"/>
        <v>1856606696</v>
      </c>
      <c r="E55" s="382">
        <f t="shared" si="4"/>
        <v>43205358</v>
      </c>
      <c r="F55" s="383">
        <f t="shared" si="5"/>
        <v>68127954</v>
      </c>
      <c r="G55" s="384">
        <f t="shared" si="6"/>
        <v>54870700</v>
      </c>
    </row>
    <row r="56" spans="2:7" ht="12" customHeight="1">
      <c r="B56" s="381" t="s">
        <v>27</v>
      </c>
      <c r="C56" s="382">
        <f t="shared" si="2"/>
        <v>1053457197</v>
      </c>
      <c r="D56" s="382">
        <f t="shared" si="3"/>
        <v>1866537637</v>
      </c>
      <c r="E56" s="382">
        <f t="shared" si="4"/>
        <v>43578907</v>
      </c>
      <c r="F56" s="383">
        <f t="shared" si="5"/>
        <v>68428856</v>
      </c>
      <c r="G56" s="384">
        <f t="shared" si="6"/>
        <v>56080158</v>
      </c>
    </row>
    <row r="57" spans="2:7" ht="12" customHeight="1">
      <c r="B57" s="381" t="s">
        <v>28</v>
      </c>
      <c r="C57" s="382">
        <f t="shared" si="2"/>
        <v>1053457197</v>
      </c>
      <c r="D57" s="382">
        <f t="shared" si="3"/>
        <v>1876163757</v>
      </c>
      <c r="E57" s="382">
        <f t="shared" si="4"/>
        <v>43912662</v>
      </c>
      <c r="F57" s="383">
        <f t="shared" si="5"/>
        <v>68735789</v>
      </c>
      <c r="G57" s="384">
        <f t="shared" si="6"/>
        <v>57275792</v>
      </c>
    </row>
    <row r="58" spans="2:7" ht="12" customHeight="1">
      <c r="B58" s="381" t="s">
        <v>29</v>
      </c>
      <c r="C58" s="382">
        <f t="shared" si="2"/>
        <v>1053457197</v>
      </c>
      <c r="D58" s="382">
        <f t="shared" si="3"/>
        <v>1886081575</v>
      </c>
      <c r="E58" s="382">
        <f t="shared" si="4"/>
        <v>44266224</v>
      </c>
      <c r="F58" s="383">
        <f t="shared" si="5"/>
        <v>69016311</v>
      </c>
      <c r="G58" s="384">
        <f t="shared" si="6"/>
        <v>58312706</v>
      </c>
    </row>
    <row r="59" spans="2:7" ht="12" customHeight="1">
      <c r="B59" s="381" t="s">
        <v>30</v>
      </c>
      <c r="C59" s="382">
        <f t="shared" si="2"/>
        <v>1053592977</v>
      </c>
      <c r="D59" s="382">
        <f t="shared" si="3"/>
        <v>1895736489</v>
      </c>
      <c r="E59" s="382">
        <f t="shared" si="4"/>
        <v>44555066</v>
      </c>
      <c r="F59" s="383">
        <f t="shared" si="5"/>
        <v>69309711</v>
      </c>
      <c r="G59" s="384">
        <f t="shared" si="6"/>
        <v>59782148</v>
      </c>
    </row>
    <row r="60" spans="2:7" ht="12" customHeight="1" thickBot="1">
      <c r="B60" s="350" t="s">
        <v>31</v>
      </c>
      <c r="C60" s="351">
        <f t="shared" si="2"/>
        <v>1053592977</v>
      </c>
      <c r="D60" s="351">
        <f t="shared" si="3"/>
        <v>1905351285</v>
      </c>
      <c r="E60" s="351">
        <f t="shared" si="4"/>
        <v>44943621</v>
      </c>
      <c r="F60" s="352">
        <f t="shared" si="5"/>
        <v>69579842</v>
      </c>
      <c r="G60" s="353">
        <f t="shared" si="6"/>
        <v>61038831</v>
      </c>
    </row>
    <row r="61" ht="12" customHeight="1" thickTop="1"/>
    <row r="62" spans="2:5" ht="12" customHeight="1">
      <c r="B62" s="394"/>
      <c r="C62" s="394"/>
      <c r="D62" s="394"/>
      <c r="E62" s="394"/>
    </row>
    <row r="63" spans="2:5" ht="12" customHeight="1">
      <c r="B63" s="394"/>
      <c r="C63" s="394"/>
      <c r="D63" s="394"/>
      <c r="E63" s="394"/>
    </row>
    <row r="64" spans="2:5" ht="12" customHeight="1">
      <c r="B64" s="394"/>
      <c r="C64" s="394"/>
      <c r="D64" s="394"/>
      <c r="E64" s="394"/>
    </row>
  </sheetData>
  <mergeCells count="1">
    <mergeCell ref="C45:G45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portrait" paperSize="9" r:id="rId2"/>
  <headerFooter alignWithMargins="0">
    <oddFooter>&amp;C&amp;9 3.5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46">
      <selection activeCell="A58" sqref="A58"/>
    </sheetView>
  </sheetViews>
  <sheetFormatPr defaultColWidth="12.57421875" defaultRowHeight="12.75"/>
  <cols>
    <col min="1" max="1" width="4.7109375" style="56" customWidth="1"/>
    <col min="2" max="2" width="15.7109375" style="56" customWidth="1"/>
    <col min="3" max="3" width="2.7109375" style="56" customWidth="1"/>
    <col min="4" max="4" width="16.7109375" style="56" customWidth="1"/>
    <col min="5" max="5" width="1.7109375" style="56" customWidth="1"/>
    <col min="6" max="6" width="13.7109375" style="56" customWidth="1"/>
    <col min="7" max="7" width="2.7109375" style="56" customWidth="1"/>
    <col min="8" max="8" width="16.7109375" style="56" customWidth="1"/>
    <col min="9" max="9" width="1.7109375" style="56" customWidth="1"/>
    <col min="10" max="10" width="13.7109375" style="56" customWidth="1"/>
    <col min="11" max="11" width="3.7109375" style="56" customWidth="1"/>
    <col min="12" max="16384" width="12.57421875" style="56" customWidth="1"/>
  </cols>
  <sheetData>
    <row r="1" spans="1:3" ht="15.75">
      <c r="A1" s="149" t="s">
        <v>38</v>
      </c>
      <c r="B1" s="61" t="s">
        <v>130</v>
      </c>
      <c r="C1" s="61"/>
    </row>
    <row r="2" spans="2:3" ht="15.75">
      <c r="B2" s="61" t="s">
        <v>39</v>
      </c>
      <c r="C2" s="61"/>
    </row>
    <row r="5" spans="2:3" ht="13.5" thickBot="1">
      <c r="B5"/>
      <c r="C5"/>
    </row>
    <row r="6" spans="1:11" ht="13.5" thickTop="1">
      <c r="A6" s="158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2.75">
      <c r="A7" s="159"/>
      <c r="B7" s="65"/>
      <c r="C7" s="65"/>
      <c r="D7" s="130"/>
      <c r="E7" s="66"/>
      <c r="F7" s="66"/>
      <c r="G7" s="66"/>
      <c r="H7" s="68" t="s">
        <v>131</v>
      </c>
      <c r="I7" s="69"/>
      <c r="J7" s="69"/>
      <c r="K7" s="92"/>
    </row>
    <row r="8" spans="1:11" ht="12.75">
      <c r="A8" s="159"/>
      <c r="B8" s="67" t="s">
        <v>1</v>
      </c>
      <c r="C8" s="67"/>
      <c r="D8" s="97" t="s">
        <v>132</v>
      </c>
      <c r="E8" s="97"/>
      <c r="F8" s="99"/>
      <c r="G8" s="66"/>
      <c r="H8" s="97" t="s">
        <v>0</v>
      </c>
      <c r="I8" s="99"/>
      <c r="J8" s="99"/>
      <c r="K8" s="92"/>
    </row>
    <row r="9" spans="1:11" ht="12.75">
      <c r="A9" s="159"/>
      <c r="B9" s="77" t="s">
        <v>3</v>
      </c>
      <c r="C9" s="77"/>
      <c r="D9" s="150" t="s">
        <v>171</v>
      </c>
      <c r="E9" s="151"/>
      <c r="F9" s="150" t="s">
        <v>32</v>
      </c>
      <c r="G9" s="152"/>
      <c r="H9" s="150" t="s">
        <v>171</v>
      </c>
      <c r="I9" s="153"/>
      <c r="J9" s="150" t="s">
        <v>32</v>
      </c>
      <c r="K9" s="92"/>
    </row>
    <row r="10" spans="1:11" ht="12.75">
      <c r="A10" s="159"/>
      <c r="B10" s="57"/>
      <c r="C10" s="57"/>
      <c r="D10" s="57"/>
      <c r="E10" s="57"/>
      <c r="F10" s="57"/>
      <c r="H10" s="57"/>
      <c r="I10" s="57"/>
      <c r="J10" s="57"/>
      <c r="K10" s="92"/>
    </row>
    <row r="11" spans="1:11" ht="12.75">
      <c r="A11" s="159"/>
      <c r="B11" s="154" t="s">
        <v>5</v>
      </c>
      <c r="C11" s="154"/>
      <c r="D11" s="75">
        <f>+'31PP'!C11</f>
        <v>5699</v>
      </c>
      <c r="E11" s="70"/>
      <c r="F11" s="71">
        <f aca="true" t="shared" si="0" ref="F11:F16">D11/D$21*100</f>
        <v>1.8297688853243166</v>
      </c>
      <c r="G11" s="70"/>
      <c r="H11" s="75">
        <f>+'31PP'!G11</f>
        <v>2270444</v>
      </c>
      <c r="I11" s="70"/>
      <c r="J11" s="71">
        <f aca="true" t="shared" si="1" ref="J11:J16">+H11/H$21*100</f>
        <v>8.694479040044568</v>
      </c>
      <c r="K11" s="92"/>
    </row>
    <row r="12" spans="1:11" ht="38.25">
      <c r="A12" s="159"/>
      <c r="B12" s="155" t="s">
        <v>161</v>
      </c>
      <c r="C12" s="155"/>
      <c r="D12" s="334">
        <f>+'31PP'!C14</f>
        <v>100204</v>
      </c>
      <c r="E12" s="76"/>
      <c r="F12" s="162">
        <f t="shared" si="0"/>
        <v>32.17233924987503</v>
      </c>
      <c r="G12" s="70"/>
      <c r="H12" s="156">
        <f>+'31PP'!G14</f>
        <v>19650047</v>
      </c>
      <c r="I12" s="76"/>
      <c r="J12" s="162">
        <f t="shared" si="1"/>
        <v>75.24824297687618</v>
      </c>
      <c r="K12" s="92"/>
    </row>
    <row r="13" spans="1:11" ht="12.75">
      <c r="A13" s="159"/>
      <c r="B13" s="154" t="s">
        <v>146</v>
      </c>
      <c r="C13" s="154"/>
      <c r="D13" s="334">
        <f>+'34PG'!E12</f>
        <v>5416.5</v>
      </c>
      <c r="E13" s="76"/>
      <c r="F13" s="162">
        <f t="shared" si="0"/>
        <v>1.7390670586697947</v>
      </c>
      <c r="G13" s="70"/>
      <c r="H13" s="156">
        <f>+'34PG'!J12</f>
        <v>895554</v>
      </c>
      <c r="I13" s="76"/>
      <c r="J13" s="162">
        <f t="shared" si="1"/>
        <v>3.4294505754064284</v>
      </c>
      <c r="K13" s="92"/>
    </row>
    <row r="14" spans="1:11" ht="12.75">
      <c r="A14" s="159"/>
      <c r="B14" s="157" t="s">
        <v>11</v>
      </c>
      <c r="C14" s="157"/>
      <c r="D14" s="334">
        <f>+'31PP'!C17</f>
        <v>33970</v>
      </c>
      <c r="E14" s="76"/>
      <c r="F14" s="162">
        <f t="shared" si="0"/>
        <v>10.906693987448154</v>
      </c>
      <c r="G14" s="70"/>
      <c r="H14" s="156">
        <f>+'31PP'!G17</f>
        <v>873941</v>
      </c>
      <c r="I14" s="76"/>
      <c r="J14" s="162">
        <f t="shared" si="1"/>
        <v>3.346685364948702</v>
      </c>
      <c r="K14" s="92"/>
    </row>
    <row r="15" spans="1:11" ht="38.25">
      <c r="A15" s="159"/>
      <c r="B15" s="155" t="s">
        <v>162</v>
      </c>
      <c r="C15" s="155"/>
      <c r="D15" s="335">
        <f>+'31PP'!C20</f>
        <v>26141</v>
      </c>
      <c r="E15" s="155"/>
      <c r="F15" s="162">
        <f t="shared" si="0"/>
        <v>8.39304938256939</v>
      </c>
      <c r="G15" s="155"/>
      <c r="H15" s="155">
        <f>+'31PP'!G20</f>
        <v>654866</v>
      </c>
      <c r="I15" s="155"/>
      <c r="J15" s="162">
        <f t="shared" si="1"/>
        <v>2.507755624467208</v>
      </c>
      <c r="K15" s="92"/>
    </row>
    <row r="16" spans="1:11" ht="12.75">
      <c r="A16" s="159"/>
      <c r="B16" s="154" t="s">
        <v>147</v>
      </c>
      <c r="C16" s="154"/>
      <c r="D16" s="336">
        <f>+'34PG'!E14</f>
        <v>119659.1</v>
      </c>
      <c r="E16" s="154"/>
      <c r="F16" s="162">
        <f t="shared" si="0"/>
        <v>38.41875733039322</v>
      </c>
      <c r="G16" s="154"/>
      <c r="H16" s="154">
        <f>+'34PG'!J14</f>
        <v>1619549</v>
      </c>
      <c r="I16" s="154"/>
      <c r="J16" s="162">
        <f t="shared" si="1"/>
        <v>6.201930034312734</v>
      </c>
      <c r="K16" s="92"/>
    </row>
    <row r="17" spans="1:11" ht="12.75">
      <c r="A17" s="159"/>
      <c r="B17" s="154" t="s">
        <v>148</v>
      </c>
      <c r="C17" s="154"/>
      <c r="D17" s="336">
        <f>+'34PG'!E16</f>
        <v>3697.6</v>
      </c>
      <c r="E17" s="154"/>
      <c r="F17" s="162">
        <f>D17/D$21*100</f>
        <v>1.1871825636734854</v>
      </c>
      <c r="G17" s="154"/>
      <c r="H17" s="154">
        <f>+'34PG'!J16</f>
        <v>38202</v>
      </c>
      <c r="I17" s="154"/>
      <c r="J17" s="162">
        <f>+H17/H$21*100</f>
        <v>0.14629142506390055</v>
      </c>
      <c r="K17" s="92"/>
    </row>
    <row r="18" spans="1:11" ht="12.75">
      <c r="A18" s="159"/>
      <c r="B18" s="154" t="s">
        <v>85</v>
      </c>
      <c r="C18" s="154"/>
      <c r="D18" s="336">
        <f>+'34PG'!E18</f>
        <v>2849.8</v>
      </c>
      <c r="E18" s="154"/>
      <c r="F18" s="162">
        <f>D18/D$21*100</f>
        <v>0.9149807631860392</v>
      </c>
      <c r="G18" s="154"/>
      <c r="H18" s="154">
        <f>+'34PG'!J18</f>
        <v>59143</v>
      </c>
      <c r="I18" s="154"/>
      <c r="J18" s="162">
        <f>+H18/H$21*100</f>
        <v>0.22648326664976362</v>
      </c>
      <c r="K18" s="92"/>
    </row>
    <row r="19" spans="1:11" ht="12.75">
      <c r="A19" s="159"/>
      <c r="B19" s="154" t="s">
        <v>149</v>
      </c>
      <c r="C19" s="154"/>
      <c r="D19" s="336">
        <f>+'34PG'!E20</f>
        <v>13823.1</v>
      </c>
      <c r="E19" s="154"/>
      <c r="F19" s="162">
        <f>D19/D$21*100</f>
        <v>4.438160778860601</v>
      </c>
      <c r="G19" s="154"/>
      <c r="H19" s="154">
        <f>+'34PG'!J20</f>
        <v>51883</v>
      </c>
      <c r="I19" s="154"/>
      <c r="J19" s="162">
        <f>+H19/H$21*100</f>
        <v>0.19868169223052068</v>
      </c>
      <c r="K19" s="92"/>
    </row>
    <row r="20" spans="1:11" ht="12.75">
      <c r="A20" s="159"/>
      <c r="B20" s="57"/>
      <c r="C20" s="57"/>
      <c r="D20" s="57"/>
      <c r="E20" s="57"/>
      <c r="F20" s="63"/>
      <c r="H20" s="57"/>
      <c r="I20" s="57"/>
      <c r="J20" s="63"/>
      <c r="K20" s="92"/>
    </row>
    <row r="21" spans="1:11" ht="12.75">
      <c r="A21" s="159"/>
      <c r="B21" s="145" t="s">
        <v>41</v>
      </c>
      <c r="C21" s="145"/>
      <c r="D21" s="140">
        <f>SUM(D11:D20)</f>
        <v>311460.0999999999</v>
      </c>
      <c r="E21" s="146"/>
      <c r="F21" s="147">
        <f>SUM(F11:F20)</f>
        <v>100.00000000000004</v>
      </c>
      <c r="G21" s="146"/>
      <c r="H21" s="140">
        <f>SUM(H11:H20)</f>
        <v>26113629</v>
      </c>
      <c r="I21" s="146"/>
      <c r="J21" s="147">
        <f>SUM(J11:J20)</f>
        <v>100.00000000000003</v>
      </c>
      <c r="K21" s="92"/>
    </row>
    <row r="22" spans="1:11" ht="13.5" thickBot="1">
      <c r="A22" s="160"/>
      <c r="B22" s="94"/>
      <c r="C22" s="94"/>
      <c r="D22" s="95"/>
      <c r="E22" s="95"/>
      <c r="F22" s="95"/>
      <c r="G22" s="95"/>
      <c r="H22" s="95"/>
      <c r="I22" s="95"/>
      <c r="J22" s="95"/>
      <c r="K22" s="161"/>
    </row>
    <row r="23" spans="2:10" ht="13.5" thickTop="1">
      <c r="B23" s="57"/>
      <c r="C23" s="57"/>
      <c r="D23" s="57"/>
      <c r="E23" s="57"/>
      <c r="F23" s="57"/>
      <c r="G23" s="57"/>
      <c r="H23" s="57"/>
      <c r="I23" s="57"/>
      <c r="J23" s="57"/>
    </row>
    <row r="24" spans="2:3" ht="12.75">
      <c r="B24" s="58" t="s">
        <v>133</v>
      </c>
      <c r="C24" s="58"/>
    </row>
    <row r="26" spans="2:3" ht="12.75">
      <c r="B26" s="58" t="s">
        <v>42</v>
      </c>
      <c r="C26" s="58"/>
    </row>
    <row r="27" spans="2:3" ht="12.75">
      <c r="B27" s="58"/>
      <c r="C27" s="58"/>
    </row>
    <row r="104" spans="2:3" ht="12.75">
      <c r="B104" s="58"/>
      <c r="C104" s="58"/>
    </row>
    <row r="107" spans="2:3" ht="12.75">
      <c r="B107" s="58"/>
      <c r="C107" s="58"/>
    </row>
  </sheetData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2"/>
  <headerFooter alignWithMargins="0">
    <oddFooter>&amp;C&amp;9 3.6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3">
      <selection activeCell="D37" sqref="D37"/>
    </sheetView>
  </sheetViews>
  <sheetFormatPr defaultColWidth="12.57421875" defaultRowHeight="12.75"/>
  <cols>
    <col min="1" max="1" width="4.7109375" style="56" customWidth="1"/>
    <col min="2" max="3" width="25.7109375" style="56" customWidth="1"/>
    <col min="4" max="4" width="16.7109375" style="56" customWidth="1"/>
    <col min="5" max="5" width="10.7109375" style="56" customWidth="1"/>
    <col min="6" max="6" width="3.7109375" style="56" customWidth="1"/>
    <col min="7" max="16384" width="12.57421875" style="56" customWidth="1"/>
  </cols>
  <sheetData>
    <row r="1" spans="1:5" ht="15.75">
      <c r="A1" s="149" t="s">
        <v>43</v>
      </c>
      <c r="B1" s="61" t="s">
        <v>134</v>
      </c>
      <c r="C1" s="163"/>
      <c r="D1" s="163"/>
      <c r="E1" s="163"/>
    </row>
    <row r="2" spans="1:2" ht="15.75">
      <c r="A2" s="287"/>
      <c r="B2" s="61" t="s">
        <v>44</v>
      </c>
    </row>
    <row r="4" ht="13.5" thickBot="1"/>
    <row r="5" spans="1:6" ht="13.5" thickTop="1">
      <c r="A5" s="158"/>
      <c r="B5" s="80"/>
      <c r="C5" s="80"/>
      <c r="D5" s="80"/>
      <c r="E5" s="80"/>
      <c r="F5" s="81"/>
    </row>
    <row r="6" spans="1:6" ht="12.75">
      <c r="A6" s="159"/>
      <c r="B6" s="65"/>
      <c r="C6" s="66"/>
      <c r="D6" s="68" t="s">
        <v>131</v>
      </c>
      <c r="E6" s="69"/>
      <c r="F6" s="92"/>
    </row>
    <row r="7" spans="1:6" ht="12.75">
      <c r="A7" s="159"/>
      <c r="B7" s="67" t="s">
        <v>1</v>
      </c>
      <c r="C7" s="66"/>
      <c r="D7" s="97" t="s">
        <v>0</v>
      </c>
      <c r="E7" s="99"/>
      <c r="F7" s="92"/>
    </row>
    <row r="8" spans="1:6" ht="12.75">
      <c r="A8" s="159"/>
      <c r="B8" s="77" t="s">
        <v>3</v>
      </c>
      <c r="C8" s="164"/>
      <c r="D8" s="150" t="s">
        <v>155</v>
      </c>
      <c r="E8" s="150" t="s">
        <v>32</v>
      </c>
      <c r="F8" s="92"/>
    </row>
    <row r="9" spans="1:6" ht="12.75">
      <c r="A9" s="159"/>
      <c r="B9" s="57"/>
      <c r="D9" s="57"/>
      <c r="E9" s="57"/>
      <c r="F9" s="92"/>
    </row>
    <row r="10" spans="1:6" ht="12.75">
      <c r="A10" s="159"/>
      <c r="B10" s="154" t="s">
        <v>45</v>
      </c>
      <c r="C10" s="70"/>
      <c r="D10" s="75">
        <v>31000</v>
      </c>
      <c r="E10" s="75">
        <f aca="true" t="shared" si="0" ref="E10:E19">ROUND(+D10/D$21,5)*100</f>
        <v>0.14300000000000002</v>
      </c>
      <c r="F10" s="92"/>
    </row>
    <row r="11" spans="1:6" ht="12.75">
      <c r="A11" s="159"/>
      <c r="B11" s="154" t="s">
        <v>46</v>
      </c>
      <c r="C11" s="76"/>
      <c r="D11" s="156">
        <v>8414465.8</v>
      </c>
      <c r="E11" s="75">
        <f t="shared" si="0"/>
        <v>38.857</v>
      </c>
      <c r="F11" s="92"/>
    </row>
    <row r="12" spans="1:6" ht="12.75">
      <c r="A12" s="159"/>
      <c r="B12" s="154" t="s">
        <v>47</v>
      </c>
      <c r="C12" s="76"/>
      <c r="D12" s="156">
        <v>1961742</v>
      </c>
      <c r="E12" s="75">
        <f t="shared" si="0"/>
        <v>9.059000000000001</v>
      </c>
      <c r="F12" s="92"/>
    </row>
    <row r="13" spans="1:6" ht="12.75">
      <c r="A13" s="159"/>
      <c r="B13" s="154" t="s">
        <v>48</v>
      </c>
      <c r="C13" s="76"/>
      <c r="D13" s="156">
        <v>2431598</v>
      </c>
      <c r="E13" s="75">
        <f t="shared" si="0"/>
        <v>11.229</v>
      </c>
      <c r="F13" s="92"/>
    </row>
    <row r="14" spans="1:6" ht="12.75">
      <c r="A14" s="159"/>
      <c r="B14" s="154" t="s">
        <v>49</v>
      </c>
      <c r="C14" s="76"/>
      <c r="D14" s="156">
        <v>898423</v>
      </c>
      <c r="E14" s="75">
        <f t="shared" si="0"/>
        <v>4.149</v>
      </c>
      <c r="F14" s="92"/>
    </row>
    <row r="15" spans="1:6" ht="12.75">
      <c r="A15" s="159"/>
      <c r="B15" s="154" t="s">
        <v>50</v>
      </c>
      <c r="C15" s="76"/>
      <c r="D15" s="156">
        <v>195794</v>
      </c>
      <c r="E15" s="75">
        <f t="shared" si="0"/>
        <v>0.9039999999999999</v>
      </c>
      <c r="F15" s="92"/>
    </row>
    <row r="16" spans="1:6" ht="12.75">
      <c r="A16" s="159"/>
      <c r="B16" s="154" t="s">
        <v>51</v>
      </c>
      <c r="C16" s="76"/>
      <c r="D16" s="156">
        <v>6557192.5</v>
      </c>
      <c r="E16" s="75">
        <f t="shared" si="0"/>
        <v>30.281000000000002</v>
      </c>
      <c r="F16" s="92"/>
    </row>
    <row r="17" spans="1:6" ht="12.75">
      <c r="A17" s="159"/>
      <c r="B17" s="154" t="s">
        <v>52</v>
      </c>
      <c r="C17" s="76"/>
      <c r="D17" s="156">
        <v>536982.4</v>
      </c>
      <c r="E17" s="75">
        <f t="shared" si="0"/>
        <v>2.48</v>
      </c>
      <c r="F17" s="92"/>
    </row>
    <row r="18" spans="1:6" ht="12.75">
      <c r="A18" s="159"/>
      <c r="B18" s="154" t="s">
        <v>40</v>
      </c>
      <c r="C18" s="76"/>
      <c r="D18" s="156">
        <v>619470</v>
      </c>
      <c r="E18" s="75">
        <f t="shared" si="0"/>
        <v>2.861</v>
      </c>
      <c r="F18" s="92"/>
    </row>
    <row r="19" spans="1:6" ht="12.75">
      <c r="A19" s="159"/>
      <c r="B19" s="154" t="s">
        <v>10</v>
      </c>
      <c r="C19" s="76"/>
      <c r="D19" s="156">
        <v>8052.3</v>
      </c>
      <c r="E19" s="75">
        <f t="shared" si="0"/>
        <v>0.037</v>
      </c>
      <c r="F19" s="92"/>
    </row>
    <row r="20" spans="1:6" ht="12.75">
      <c r="A20" s="159"/>
      <c r="B20" s="57"/>
      <c r="C20" s="57"/>
      <c r="D20" s="57"/>
      <c r="E20" s="5"/>
      <c r="F20" s="92"/>
    </row>
    <row r="21" spans="1:6" ht="12.75">
      <c r="A21" s="159"/>
      <c r="B21" s="145" t="s">
        <v>41</v>
      </c>
      <c r="C21" s="146"/>
      <c r="D21" s="140">
        <f>SUM(D10:D20)</f>
        <v>21654720</v>
      </c>
      <c r="E21" s="140">
        <f>SUM(E10:E20)</f>
        <v>100.00000000000001</v>
      </c>
      <c r="F21" s="92"/>
    </row>
    <row r="22" spans="1:6" ht="13.5" thickBot="1">
      <c r="A22" s="160"/>
      <c r="B22" s="94"/>
      <c r="C22" s="95"/>
      <c r="D22" s="165"/>
      <c r="E22" s="165"/>
      <c r="F22" s="161"/>
    </row>
    <row r="23" spans="2:5" ht="13.5" thickTop="1">
      <c r="B23" s="57"/>
      <c r="C23" s="57"/>
      <c r="D23" s="57"/>
      <c r="E23" s="57"/>
    </row>
    <row r="25" spans="1:2" ht="12.75">
      <c r="A25" s="288">
        <v>-1</v>
      </c>
      <c r="B25" s="289" t="s">
        <v>135</v>
      </c>
    </row>
    <row r="26" ht="12.75">
      <c r="B26" s="57"/>
    </row>
    <row r="27" spans="1:2" ht="12.75">
      <c r="A27" s="290" t="s">
        <v>53</v>
      </c>
      <c r="B27" s="289" t="s">
        <v>54</v>
      </c>
    </row>
    <row r="28" ht="12.75">
      <c r="B28" s="59"/>
    </row>
    <row r="104" ht="12.75">
      <c r="B104" s="58"/>
    </row>
    <row r="107" ht="12.75">
      <c r="B107" s="58"/>
    </row>
  </sheetData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43">
      <selection activeCell="E47" sqref="E47:F47"/>
    </sheetView>
  </sheetViews>
  <sheetFormatPr defaultColWidth="12.57421875" defaultRowHeight="12.75"/>
  <cols>
    <col min="1" max="1" width="4.7109375" style="166" customWidth="1"/>
    <col min="2" max="2" width="25.7109375" style="166" customWidth="1"/>
    <col min="3" max="4" width="14.7109375" style="166" customWidth="1"/>
    <col min="5" max="6" width="15.7109375" style="166" customWidth="1"/>
    <col min="7" max="7" width="3.57421875" style="166" customWidth="1"/>
    <col min="8" max="16384" width="12.57421875" style="166" customWidth="1"/>
  </cols>
  <sheetData>
    <row r="1" spans="1:2" ht="15.75">
      <c r="A1" s="169" t="s">
        <v>55</v>
      </c>
      <c r="B1" s="170" t="s">
        <v>115</v>
      </c>
    </row>
    <row r="2" spans="1:2" ht="15.75">
      <c r="A2" s="171"/>
      <c r="B2" s="170" t="s">
        <v>113</v>
      </c>
    </row>
    <row r="3" ht="12.75">
      <c r="B3" s="167"/>
    </row>
    <row r="4" ht="12.75">
      <c r="B4" s="167"/>
    </row>
    <row r="6" ht="13.5" thickBot="1"/>
    <row r="7" spans="2:7" ht="18.75" thickTop="1">
      <c r="B7" s="343" t="s">
        <v>56</v>
      </c>
      <c r="C7" s="199" t="s">
        <v>37</v>
      </c>
      <c r="D7" s="200"/>
      <c r="E7" s="200"/>
      <c r="F7" s="201"/>
      <c r="G7" s="167"/>
    </row>
    <row r="8" spans="2:7" ht="12.75">
      <c r="B8" s="181"/>
      <c r="C8" s="173"/>
      <c r="D8" s="176"/>
      <c r="E8" s="172" t="s">
        <v>57</v>
      </c>
      <c r="F8" s="182"/>
      <c r="G8" s="167"/>
    </row>
    <row r="9" spans="2:7" ht="12.75">
      <c r="B9" s="183" t="s">
        <v>18</v>
      </c>
      <c r="C9" s="52" t="s">
        <v>116</v>
      </c>
      <c r="D9" s="177" t="s">
        <v>117</v>
      </c>
      <c r="E9" s="53" t="s">
        <v>116</v>
      </c>
      <c r="F9" s="184" t="s">
        <v>117</v>
      </c>
      <c r="G9" s="167"/>
    </row>
    <row r="10" spans="2:7" ht="12.75">
      <c r="B10" s="185"/>
      <c r="C10" s="54" t="s">
        <v>58</v>
      </c>
      <c r="D10" s="178" t="s">
        <v>114</v>
      </c>
      <c r="E10" s="55" t="s">
        <v>58</v>
      </c>
      <c r="F10" s="186" t="s">
        <v>114</v>
      </c>
      <c r="G10" s="167"/>
    </row>
    <row r="11" spans="2:7" ht="12.75">
      <c r="B11" s="323" t="s">
        <v>154</v>
      </c>
      <c r="C11" s="52"/>
      <c r="D11" s="397"/>
      <c r="E11" s="324">
        <v>2931026375</v>
      </c>
      <c r="F11" s="325">
        <v>2561443883</v>
      </c>
      <c r="G11" s="167"/>
    </row>
    <row r="12" spans="2:7" ht="12.75">
      <c r="B12" s="187" t="s">
        <v>20</v>
      </c>
      <c r="C12" s="174"/>
      <c r="D12" s="179">
        <v>99170685</v>
      </c>
      <c r="E12" s="168">
        <f>+E11+C12</f>
        <v>2931026375</v>
      </c>
      <c r="F12" s="188">
        <f>+F11+D12</f>
        <v>2660614568</v>
      </c>
      <c r="G12" s="167"/>
    </row>
    <row r="13" spans="2:7" ht="12.75">
      <c r="B13" s="187" t="s">
        <v>21</v>
      </c>
      <c r="C13" s="175"/>
      <c r="D13" s="179">
        <v>91149093</v>
      </c>
      <c r="E13" s="168">
        <f aca="true" t="shared" si="0" ref="E13:E23">+E12+C13</f>
        <v>2931026375</v>
      </c>
      <c r="F13" s="188">
        <f aca="true" t="shared" si="1" ref="F13:F23">+F12+D13</f>
        <v>2751763661</v>
      </c>
      <c r="G13" s="167"/>
    </row>
    <row r="14" spans="2:9" ht="12.75">
      <c r="B14" s="187" t="s">
        <v>22</v>
      </c>
      <c r="C14" s="175">
        <v>29356743</v>
      </c>
      <c r="D14" s="179">
        <v>37549355</v>
      </c>
      <c r="E14" s="168">
        <f t="shared" si="0"/>
        <v>2960383118</v>
      </c>
      <c r="F14" s="188">
        <f t="shared" si="1"/>
        <v>2789313016</v>
      </c>
      <c r="G14" s="167"/>
      <c r="I14" s="341"/>
    </row>
    <row r="15" spans="2:9" ht="12.75">
      <c r="B15" s="187" t="s">
        <v>23</v>
      </c>
      <c r="C15" s="175">
        <v>101809042</v>
      </c>
      <c r="D15" s="179"/>
      <c r="E15" s="168">
        <f t="shared" si="0"/>
        <v>3062192160</v>
      </c>
      <c r="F15" s="188">
        <f t="shared" si="1"/>
        <v>2789313016</v>
      </c>
      <c r="G15" s="167"/>
      <c r="I15" s="341"/>
    </row>
    <row r="16" spans="2:9" ht="12.75">
      <c r="B16" s="187" t="s">
        <v>24</v>
      </c>
      <c r="C16" s="175">
        <v>92019107</v>
      </c>
      <c r="D16" s="179"/>
      <c r="E16" s="168">
        <f t="shared" si="0"/>
        <v>3154211267</v>
      </c>
      <c r="F16" s="188">
        <f t="shared" si="1"/>
        <v>2789313016</v>
      </c>
      <c r="G16" s="167"/>
      <c r="I16" s="341"/>
    </row>
    <row r="17" spans="2:7" ht="12.75">
      <c r="B17" s="187" t="s">
        <v>25</v>
      </c>
      <c r="C17" s="175">
        <v>64438320</v>
      </c>
      <c r="D17" s="179"/>
      <c r="E17" s="168">
        <f t="shared" si="0"/>
        <v>3218649587</v>
      </c>
      <c r="F17" s="188">
        <f t="shared" si="1"/>
        <v>2789313016</v>
      </c>
      <c r="G17" s="167"/>
    </row>
    <row r="18" spans="2:7" ht="12.75">
      <c r="B18" s="187" t="s">
        <v>26</v>
      </c>
      <c r="C18" s="175">
        <v>84930086</v>
      </c>
      <c r="D18" s="179"/>
      <c r="E18" s="168">
        <f t="shared" si="0"/>
        <v>3303579673</v>
      </c>
      <c r="F18" s="188">
        <f t="shared" si="1"/>
        <v>2789313016</v>
      </c>
      <c r="G18" s="167"/>
    </row>
    <row r="19" spans="2:7" ht="12.75">
      <c r="B19" s="187" t="s">
        <v>27</v>
      </c>
      <c r="C19" s="175">
        <v>89303775</v>
      </c>
      <c r="D19" s="179"/>
      <c r="E19" s="168">
        <f t="shared" si="0"/>
        <v>3392883448</v>
      </c>
      <c r="F19" s="188">
        <f t="shared" si="1"/>
        <v>2789313016</v>
      </c>
      <c r="G19" s="167"/>
    </row>
    <row r="20" spans="2:7" ht="12.75">
      <c r="B20" s="187" t="s">
        <v>28</v>
      </c>
      <c r="C20" s="175">
        <v>33319481</v>
      </c>
      <c r="D20" s="179"/>
      <c r="E20" s="168">
        <f t="shared" si="0"/>
        <v>3426202929</v>
      </c>
      <c r="F20" s="188">
        <f t="shared" si="1"/>
        <v>2789313016</v>
      </c>
      <c r="G20" s="167"/>
    </row>
    <row r="21" spans="2:7" ht="12.75">
      <c r="B21" s="187" t="s">
        <v>29</v>
      </c>
      <c r="C21" s="175">
        <v>2445867</v>
      </c>
      <c r="D21" s="179"/>
      <c r="E21" s="168">
        <f t="shared" si="0"/>
        <v>3428648796</v>
      </c>
      <c r="F21" s="188">
        <f t="shared" si="1"/>
        <v>2789313016</v>
      </c>
      <c r="G21" s="167"/>
    </row>
    <row r="22" spans="2:7" ht="12.75">
      <c r="B22" s="187" t="s">
        <v>30</v>
      </c>
      <c r="C22" s="175"/>
      <c r="D22" s="179">
        <v>53915720</v>
      </c>
      <c r="E22" s="168">
        <f t="shared" si="0"/>
        <v>3428648796</v>
      </c>
      <c r="F22" s="188">
        <f t="shared" si="1"/>
        <v>2843228736</v>
      </c>
      <c r="G22" s="167"/>
    </row>
    <row r="23" spans="2:7" ht="12.75">
      <c r="B23" s="187" t="s">
        <v>31</v>
      </c>
      <c r="C23" s="175"/>
      <c r="D23" s="179">
        <v>92381307</v>
      </c>
      <c r="E23" s="168">
        <f t="shared" si="0"/>
        <v>3428648796</v>
      </c>
      <c r="F23" s="188">
        <f t="shared" si="1"/>
        <v>2935610043</v>
      </c>
      <c r="G23" s="167"/>
    </row>
    <row r="24" spans="2:7" ht="12.75">
      <c r="B24" s="187"/>
      <c r="C24" s="175"/>
      <c r="D24" s="179"/>
      <c r="E24" s="168"/>
      <c r="F24" s="189"/>
      <c r="G24" s="167"/>
    </row>
    <row r="25" spans="2:7" ht="12.75">
      <c r="B25" s="194" t="s">
        <v>14</v>
      </c>
      <c r="C25" s="195">
        <f>SUM(C12:C23)</f>
        <v>497622421</v>
      </c>
      <c r="D25" s="196">
        <f>SUM(D12:D23)</f>
        <v>374166160</v>
      </c>
      <c r="E25" s="167"/>
      <c r="F25" s="190"/>
      <c r="G25" s="167"/>
    </row>
    <row r="26" spans="2:6" ht="13.5" thickBot="1">
      <c r="B26" s="191"/>
      <c r="C26" s="192"/>
      <c r="D26" s="192"/>
      <c r="E26" s="192"/>
      <c r="F26" s="193"/>
    </row>
    <row r="27" spans="1:2" ht="13.5" thickTop="1">
      <c r="A27" s="167"/>
      <c r="B27" s="167"/>
    </row>
    <row r="28" spans="1:2" ht="12.75">
      <c r="A28" s="167"/>
      <c r="B28" s="167"/>
    </row>
    <row r="30" ht="13.5" thickBot="1"/>
    <row r="31" spans="2:7" ht="18.75" thickTop="1">
      <c r="B31" s="344" t="s">
        <v>59</v>
      </c>
      <c r="C31" s="199" t="s">
        <v>37</v>
      </c>
      <c r="D31" s="200"/>
      <c r="E31" s="200"/>
      <c r="F31" s="201"/>
      <c r="G31" s="167"/>
    </row>
    <row r="32" spans="2:7" ht="12.75">
      <c r="B32" s="181"/>
      <c r="C32" s="173"/>
      <c r="D32" s="176"/>
      <c r="E32" s="172" t="s">
        <v>57</v>
      </c>
      <c r="F32" s="182"/>
      <c r="G32" s="167"/>
    </row>
    <row r="33" spans="2:7" ht="12.75">
      <c r="B33" s="183" t="s">
        <v>18</v>
      </c>
      <c r="C33" s="52" t="s">
        <v>116</v>
      </c>
      <c r="D33" s="177" t="s">
        <v>117</v>
      </c>
      <c r="E33" s="53" t="s">
        <v>116</v>
      </c>
      <c r="F33" s="184" t="s">
        <v>117</v>
      </c>
      <c r="G33" s="167"/>
    </row>
    <row r="34" spans="2:7" ht="12.75">
      <c r="B34" s="185"/>
      <c r="C34" s="54" t="s">
        <v>58</v>
      </c>
      <c r="D34" s="178" t="s">
        <v>114</v>
      </c>
      <c r="E34" s="55" t="s">
        <v>58</v>
      </c>
      <c r="F34" s="186" t="s">
        <v>114</v>
      </c>
      <c r="G34" s="167"/>
    </row>
    <row r="35" spans="2:7" ht="12.75">
      <c r="B35" s="323" t="s">
        <v>154</v>
      </c>
      <c r="C35" s="52"/>
      <c r="D35" s="395"/>
      <c r="E35" s="168">
        <v>4489782646</v>
      </c>
      <c r="F35" s="188">
        <v>3200769267</v>
      </c>
      <c r="G35" s="167"/>
    </row>
    <row r="36" spans="2:7" ht="12.75">
      <c r="B36" s="187" t="s">
        <v>20</v>
      </c>
      <c r="C36" s="174"/>
      <c r="D36" s="168">
        <v>118446351</v>
      </c>
      <c r="E36" s="174">
        <f>+E35+C36</f>
        <v>4489782646</v>
      </c>
      <c r="F36" s="189">
        <f>+F35+D36</f>
        <v>3319215618</v>
      </c>
      <c r="G36" s="167"/>
    </row>
    <row r="37" spans="2:7" ht="12.75">
      <c r="B37" s="187" t="s">
        <v>21</v>
      </c>
      <c r="C37" s="174"/>
      <c r="D37" s="168">
        <v>153446314</v>
      </c>
      <c r="E37" s="174">
        <f aca="true" t="shared" si="2" ref="E37:E47">+E36+C37</f>
        <v>4489782646</v>
      </c>
      <c r="F37" s="189">
        <f aca="true" t="shared" si="3" ref="F37:F47">+F36+D37</f>
        <v>3472661932</v>
      </c>
      <c r="G37" s="167"/>
    </row>
    <row r="38" spans="2:7" ht="12.75">
      <c r="B38" s="187" t="s">
        <v>22</v>
      </c>
      <c r="C38" s="174">
        <v>29171311</v>
      </c>
      <c r="D38" s="168">
        <v>98194782</v>
      </c>
      <c r="E38" s="174">
        <f t="shared" si="2"/>
        <v>4518953957</v>
      </c>
      <c r="F38" s="189">
        <f t="shared" si="3"/>
        <v>3570856714</v>
      </c>
      <c r="G38" s="167"/>
    </row>
    <row r="39" spans="2:7" ht="12.75">
      <c r="B39" s="187" t="s">
        <v>23</v>
      </c>
      <c r="C39" s="396">
        <v>82398620</v>
      </c>
      <c r="D39" s="180"/>
      <c r="E39" s="174">
        <f t="shared" si="2"/>
        <v>4601352577</v>
      </c>
      <c r="F39" s="189">
        <f t="shared" si="3"/>
        <v>3570856714</v>
      </c>
      <c r="G39" s="167"/>
    </row>
    <row r="40" spans="2:7" ht="12.75">
      <c r="B40" s="187" t="s">
        <v>24</v>
      </c>
      <c r="C40" s="174">
        <v>119083866</v>
      </c>
      <c r="D40" s="168"/>
      <c r="E40" s="174">
        <f t="shared" si="2"/>
        <v>4720436443</v>
      </c>
      <c r="F40" s="189">
        <f t="shared" si="3"/>
        <v>3570856714</v>
      </c>
      <c r="G40" s="167"/>
    </row>
    <row r="41" spans="2:7" ht="12.75">
      <c r="B41" s="187" t="s">
        <v>25</v>
      </c>
      <c r="C41" s="174">
        <v>88535962</v>
      </c>
      <c r="D41" s="168"/>
      <c r="E41" s="174">
        <f t="shared" si="2"/>
        <v>4808972405</v>
      </c>
      <c r="F41" s="189">
        <f t="shared" si="3"/>
        <v>3570856714</v>
      </c>
      <c r="G41" s="167"/>
    </row>
    <row r="42" spans="2:7" ht="12.75">
      <c r="B42" s="187" t="s">
        <v>26</v>
      </c>
      <c r="C42" s="174">
        <v>109296725</v>
      </c>
      <c r="D42" s="168"/>
      <c r="E42" s="174">
        <f t="shared" si="2"/>
        <v>4918269130</v>
      </c>
      <c r="F42" s="189">
        <f t="shared" si="3"/>
        <v>3570856714</v>
      </c>
      <c r="G42" s="167"/>
    </row>
    <row r="43" spans="2:7" ht="12.75">
      <c r="B43" s="187" t="s">
        <v>27</v>
      </c>
      <c r="C43" s="174">
        <v>135563081</v>
      </c>
      <c r="D43" s="168"/>
      <c r="E43" s="174">
        <f t="shared" si="2"/>
        <v>5053832211</v>
      </c>
      <c r="F43" s="189">
        <f t="shared" si="3"/>
        <v>3570856714</v>
      </c>
      <c r="G43" s="167"/>
    </row>
    <row r="44" spans="2:7" ht="12.75">
      <c r="B44" s="187" t="s">
        <v>28</v>
      </c>
      <c r="C44" s="174">
        <v>120784693</v>
      </c>
      <c r="D44" s="168"/>
      <c r="E44" s="174">
        <f t="shared" si="2"/>
        <v>5174616904</v>
      </c>
      <c r="F44" s="189">
        <f t="shared" si="3"/>
        <v>3570856714</v>
      </c>
      <c r="G44" s="167"/>
    </row>
    <row r="45" spans="2:7" ht="12.75">
      <c r="B45" s="187" t="s">
        <v>29</v>
      </c>
      <c r="C45" s="174">
        <v>132291980</v>
      </c>
      <c r="D45" s="168"/>
      <c r="E45" s="174">
        <f t="shared" si="2"/>
        <v>5306908884</v>
      </c>
      <c r="F45" s="189">
        <f t="shared" si="3"/>
        <v>3570856714</v>
      </c>
      <c r="G45" s="167"/>
    </row>
    <row r="46" spans="2:7" ht="12.75">
      <c r="B46" s="187" t="s">
        <v>30</v>
      </c>
      <c r="C46" s="174">
        <v>23845491</v>
      </c>
      <c r="D46" s="168">
        <v>40648669</v>
      </c>
      <c r="E46" s="174">
        <f t="shared" si="2"/>
        <v>5330754375</v>
      </c>
      <c r="F46" s="189">
        <f t="shared" si="3"/>
        <v>3611505383</v>
      </c>
      <c r="G46" s="167"/>
    </row>
    <row r="47" spans="2:7" ht="12.75">
      <c r="B47" s="187" t="s">
        <v>31</v>
      </c>
      <c r="C47" s="174"/>
      <c r="D47" s="168">
        <v>89927222</v>
      </c>
      <c r="E47" s="174">
        <f t="shared" si="2"/>
        <v>5330754375</v>
      </c>
      <c r="F47" s="189">
        <f t="shared" si="3"/>
        <v>3701432605</v>
      </c>
      <c r="G47" s="167"/>
    </row>
    <row r="48" spans="2:7" ht="12.75">
      <c r="B48" s="187"/>
      <c r="C48" s="174"/>
      <c r="D48" s="168"/>
      <c r="E48" s="180"/>
      <c r="F48" s="189"/>
      <c r="G48" s="167"/>
    </row>
    <row r="49" spans="2:7" ht="12.75">
      <c r="B49" s="194" t="s">
        <v>14</v>
      </c>
      <c r="C49" s="195">
        <f>SUM(C36:C47)</f>
        <v>840971729</v>
      </c>
      <c r="D49" s="198">
        <f>SUM(D36:D47)</f>
        <v>500663338</v>
      </c>
      <c r="E49" s="197"/>
      <c r="F49" s="190"/>
      <c r="G49" s="167"/>
    </row>
    <row r="50" spans="2:6" ht="13.5" thickBot="1">
      <c r="B50" s="191"/>
      <c r="C50" s="192"/>
      <c r="D50" s="192"/>
      <c r="E50" s="192"/>
      <c r="F50" s="193"/>
    </row>
    <row r="51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workbookViewId="0" topLeftCell="A1">
      <pane xSplit="1" ySplit="7" topLeftCell="H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50" sqref="P50"/>
    </sheetView>
  </sheetViews>
  <sheetFormatPr defaultColWidth="12.57421875" defaultRowHeight="12.75"/>
  <cols>
    <col min="1" max="1" width="7.7109375" style="209" customWidth="1"/>
    <col min="2" max="2" width="1.7109375" style="45" customWidth="1"/>
    <col min="3" max="3" width="7.7109375" style="45" customWidth="1"/>
    <col min="4" max="4" width="10.7109375" style="45" customWidth="1"/>
    <col min="5" max="5" width="14.7109375" style="45" customWidth="1"/>
    <col min="6" max="6" width="10.7109375" style="45" customWidth="1"/>
    <col min="7" max="7" width="9.7109375" style="45" customWidth="1"/>
    <col min="8" max="8" width="12.7109375" style="45" customWidth="1"/>
    <col min="9" max="9" width="9.7109375" style="45" customWidth="1"/>
    <col min="10" max="10" width="15.7109375" style="45" customWidth="1"/>
    <col min="11" max="11" width="10.7109375" style="45" customWidth="1"/>
    <col min="12" max="12" width="11.7109375" style="45" customWidth="1"/>
    <col min="13" max="13" width="12.7109375" style="45" customWidth="1"/>
    <col min="14" max="14" width="15.7109375" style="45" customWidth="1"/>
    <col min="15" max="15" width="1.7109375" style="45" customWidth="1"/>
    <col min="16" max="16" width="7.7109375" style="45" customWidth="1"/>
    <col min="17" max="17" width="3.57421875" style="45" customWidth="1"/>
    <col min="18" max="16384" width="12.57421875" style="45" customWidth="1"/>
  </cols>
  <sheetData>
    <row r="1" spans="1:3" ht="15.75">
      <c r="A1" s="210" t="s">
        <v>60</v>
      </c>
      <c r="B1" s="46" t="s">
        <v>136</v>
      </c>
      <c r="C1" s="211"/>
    </row>
    <row r="2" spans="1:3" ht="15.75">
      <c r="A2" s="212"/>
      <c r="B2" s="46"/>
      <c r="C2" s="211"/>
    </row>
    <row r="3" ht="13.5" thickBot="1"/>
    <row r="4" spans="1:17" ht="13.5" thickTop="1">
      <c r="A4" s="216"/>
      <c r="B4" s="43"/>
      <c r="C4" s="217" t="s">
        <v>165</v>
      </c>
      <c r="D4" s="218"/>
      <c r="E4" s="218"/>
      <c r="F4" s="219"/>
      <c r="G4" s="218"/>
      <c r="H4" s="218"/>
      <c r="I4" s="218"/>
      <c r="J4" s="218"/>
      <c r="K4" s="218"/>
      <c r="L4" s="218"/>
      <c r="M4" s="218"/>
      <c r="N4" s="218"/>
      <c r="O4" s="218"/>
      <c r="P4" s="220"/>
      <c r="Q4" s="2"/>
    </row>
    <row r="5" spans="1:17" ht="12.75">
      <c r="A5" s="221"/>
      <c r="B5" s="202"/>
      <c r="C5" s="202"/>
      <c r="D5" s="202"/>
      <c r="E5" s="202"/>
      <c r="F5" s="202"/>
      <c r="G5" s="202"/>
      <c r="H5" s="202"/>
      <c r="I5" s="202"/>
      <c r="J5" s="203" t="s">
        <v>163</v>
      </c>
      <c r="K5" s="202"/>
      <c r="L5" s="202"/>
      <c r="M5" s="202"/>
      <c r="N5" s="203" t="s">
        <v>163</v>
      </c>
      <c r="O5" s="202"/>
      <c r="P5" s="222"/>
      <c r="Q5" s="2"/>
    </row>
    <row r="6" spans="1:17" ht="12.75">
      <c r="A6" s="223" t="s">
        <v>61</v>
      </c>
      <c r="B6" s="202"/>
      <c r="C6" s="202"/>
      <c r="D6" s="202"/>
      <c r="E6" s="202"/>
      <c r="F6" s="202"/>
      <c r="G6" s="202"/>
      <c r="H6" s="202"/>
      <c r="I6" s="202"/>
      <c r="J6" s="203" t="s">
        <v>8</v>
      </c>
      <c r="K6" s="203" t="s">
        <v>59</v>
      </c>
      <c r="L6" s="202"/>
      <c r="M6" s="202"/>
      <c r="N6" s="203" t="s">
        <v>12</v>
      </c>
      <c r="O6" s="202"/>
      <c r="P6" s="222"/>
      <c r="Q6" s="2"/>
    </row>
    <row r="7" spans="1:17" ht="12.75">
      <c r="A7" s="224" t="s">
        <v>62</v>
      </c>
      <c r="B7" s="202"/>
      <c r="C7" s="213" t="s">
        <v>5</v>
      </c>
      <c r="D7" s="213" t="s">
        <v>63</v>
      </c>
      <c r="E7" s="213" t="s">
        <v>13</v>
      </c>
      <c r="F7" s="213" t="s">
        <v>47</v>
      </c>
      <c r="G7" s="213" t="s">
        <v>48</v>
      </c>
      <c r="H7" s="213" t="s">
        <v>50</v>
      </c>
      <c r="I7" s="213" t="s">
        <v>64</v>
      </c>
      <c r="J7" s="213" t="s">
        <v>9</v>
      </c>
      <c r="K7" s="213" t="s">
        <v>65</v>
      </c>
      <c r="L7" s="213" t="s">
        <v>10</v>
      </c>
      <c r="M7" s="213" t="s">
        <v>11</v>
      </c>
      <c r="N7" s="213" t="s">
        <v>13</v>
      </c>
      <c r="O7" s="202"/>
      <c r="P7" s="225" t="s">
        <v>14</v>
      </c>
      <c r="Q7" s="2"/>
    </row>
    <row r="8" spans="1:17" ht="12.75">
      <c r="A8" s="226">
        <v>1963</v>
      </c>
      <c r="B8" s="111"/>
      <c r="C8" s="214" t="s">
        <v>15</v>
      </c>
      <c r="D8" s="214" t="s">
        <v>15</v>
      </c>
      <c r="E8" s="214" t="s">
        <v>15</v>
      </c>
      <c r="F8" s="214" t="s">
        <v>15</v>
      </c>
      <c r="G8" s="214" t="s">
        <v>15</v>
      </c>
      <c r="H8" s="214" t="s">
        <v>15</v>
      </c>
      <c r="I8" s="214" t="s">
        <v>15</v>
      </c>
      <c r="J8" s="214" t="s">
        <v>15</v>
      </c>
      <c r="K8" s="214" t="s">
        <v>15</v>
      </c>
      <c r="L8" s="214" t="s">
        <v>15</v>
      </c>
      <c r="M8" s="214" t="s">
        <v>15</v>
      </c>
      <c r="N8" s="214" t="s">
        <v>15</v>
      </c>
      <c r="O8" s="215"/>
      <c r="P8" s="227" t="s">
        <v>15</v>
      </c>
      <c r="Q8" s="2"/>
    </row>
    <row r="9" spans="1:17" ht="12.75">
      <c r="A9" s="226">
        <v>1964</v>
      </c>
      <c r="B9" s="111"/>
      <c r="C9" s="214" t="s">
        <v>15</v>
      </c>
      <c r="D9" s="214" t="s">
        <v>15</v>
      </c>
      <c r="E9" s="214" t="s">
        <v>15</v>
      </c>
      <c r="F9" s="214" t="s">
        <v>15</v>
      </c>
      <c r="G9" s="214" t="s">
        <v>15</v>
      </c>
      <c r="H9" s="214" t="s">
        <v>15</v>
      </c>
      <c r="I9" s="214" t="s">
        <v>15</v>
      </c>
      <c r="J9" s="214" t="s">
        <v>15</v>
      </c>
      <c r="K9" s="214" t="s">
        <v>15</v>
      </c>
      <c r="L9" s="214" t="s">
        <v>15</v>
      </c>
      <c r="M9" s="214" t="s">
        <v>15</v>
      </c>
      <c r="N9" s="214" t="s">
        <v>15</v>
      </c>
      <c r="O9" s="215"/>
      <c r="P9" s="227" t="s">
        <v>15</v>
      </c>
      <c r="Q9" s="2"/>
    </row>
    <row r="10" spans="1:17" ht="12.75">
      <c r="A10" s="226">
        <v>1965</v>
      </c>
      <c r="B10" s="111"/>
      <c r="C10" s="214" t="s">
        <v>15</v>
      </c>
      <c r="D10" s="214" t="s">
        <v>15</v>
      </c>
      <c r="E10" s="214" t="s">
        <v>15</v>
      </c>
      <c r="F10" s="214" t="s">
        <v>15</v>
      </c>
      <c r="G10" s="214" t="s">
        <v>15</v>
      </c>
      <c r="H10" s="214" t="s">
        <v>15</v>
      </c>
      <c r="I10" s="214" t="s">
        <v>15</v>
      </c>
      <c r="J10" s="214" t="s">
        <v>15</v>
      </c>
      <c r="K10" s="214" t="s">
        <v>15</v>
      </c>
      <c r="L10" s="214" t="s">
        <v>15</v>
      </c>
      <c r="M10" s="214" t="s">
        <v>15</v>
      </c>
      <c r="N10" s="214" t="s">
        <v>15</v>
      </c>
      <c r="O10" s="215"/>
      <c r="P10" s="227" t="s">
        <v>15</v>
      </c>
      <c r="Q10" s="2"/>
    </row>
    <row r="11" spans="1:17" ht="12.75">
      <c r="A11" s="226">
        <v>1966</v>
      </c>
      <c r="B11" s="112"/>
      <c r="C11" s="49">
        <v>4</v>
      </c>
      <c r="D11" s="214" t="s">
        <v>15</v>
      </c>
      <c r="E11" s="214" t="s">
        <v>15</v>
      </c>
      <c r="F11" s="214" t="s">
        <v>15</v>
      </c>
      <c r="G11" s="214" t="s">
        <v>15</v>
      </c>
      <c r="H11" s="214" t="s">
        <v>15</v>
      </c>
      <c r="I11" s="214" t="s">
        <v>15</v>
      </c>
      <c r="J11" s="214" t="s">
        <v>15</v>
      </c>
      <c r="K11" s="214" t="s">
        <v>15</v>
      </c>
      <c r="L11" s="214" t="s">
        <v>15</v>
      </c>
      <c r="M11" s="214" t="s">
        <v>15</v>
      </c>
      <c r="N11" s="214" t="s">
        <v>15</v>
      </c>
      <c r="O11" s="111"/>
      <c r="P11" s="50">
        <f aca="true" t="shared" si="0" ref="P11:P49">SUM(C11:O11)</f>
        <v>4</v>
      </c>
      <c r="Q11" s="2"/>
    </row>
    <row r="12" spans="1:17" ht="12.75">
      <c r="A12" s="226">
        <v>1967</v>
      </c>
      <c r="B12" s="112"/>
      <c r="C12" s="49">
        <v>110</v>
      </c>
      <c r="D12" s="214" t="s">
        <v>15</v>
      </c>
      <c r="E12" s="214" t="s">
        <v>15</v>
      </c>
      <c r="F12" s="214" t="s">
        <v>15</v>
      </c>
      <c r="G12" s="214" t="s">
        <v>15</v>
      </c>
      <c r="H12" s="214" t="s">
        <v>15</v>
      </c>
      <c r="I12" s="214" t="s">
        <v>15</v>
      </c>
      <c r="J12" s="214" t="s">
        <v>15</v>
      </c>
      <c r="K12" s="214" t="s">
        <v>15</v>
      </c>
      <c r="L12" s="214" t="s">
        <v>15</v>
      </c>
      <c r="M12" s="214" t="s">
        <v>15</v>
      </c>
      <c r="N12" s="214" t="s">
        <v>15</v>
      </c>
      <c r="O12" s="111"/>
      <c r="P12" s="50">
        <f t="shared" si="0"/>
        <v>110</v>
      </c>
      <c r="Q12" s="2"/>
    </row>
    <row r="13" spans="1:17" ht="12.75">
      <c r="A13" s="226">
        <v>1968</v>
      </c>
      <c r="B13" s="112"/>
      <c r="C13" s="49">
        <v>110</v>
      </c>
      <c r="D13" s="214" t="s">
        <v>15</v>
      </c>
      <c r="E13" s="214" t="s">
        <v>15</v>
      </c>
      <c r="F13" s="214" t="s">
        <v>15</v>
      </c>
      <c r="G13" s="214" t="s">
        <v>15</v>
      </c>
      <c r="H13" s="214" t="s">
        <v>15</v>
      </c>
      <c r="I13" s="214" t="s">
        <v>15</v>
      </c>
      <c r="J13" s="214" t="s">
        <v>15</v>
      </c>
      <c r="K13" s="214" t="s">
        <v>15</v>
      </c>
      <c r="L13" s="214" t="s">
        <v>15</v>
      </c>
      <c r="M13" s="214" t="s">
        <v>15</v>
      </c>
      <c r="N13" s="214" t="s">
        <v>15</v>
      </c>
      <c r="O13" s="111"/>
      <c r="P13" s="50">
        <f t="shared" si="0"/>
        <v>110</v>
      </c>
      <c r="Q13" s="2"/>
    </row>
    <row r="14" spans="1:17" ht="12.75">
      <c r="A14" s="226">
        <v>1969</v>
      </c>
      <c r="B14" s="112"/>
      <c r="C14" s="49">
        <v>193</v>
      </c>
      <c r="D14" s="214" t="s">
        <v>15</v>
      </c>
      <c r="E14" s="214" t="s">
        <v>15</v>
      </c>
      <c r="F14" s="214" t="s">
        <v>15</v>
      </c>
      <c r="G14" s="214" t="s">
        <v>15</v>
      </c>
      <c r="H14" s="214" t="s">
        <v>15</v>
      </c>
      <c r="I14" s="214" t="s">
        <v>15</v>
      </c>
      <c r="J14" s="214" t="s">
        <v>15</v>
      </c>
      <c r="K14" s="214" t="s">
        <v>15</v>
      </c>
      <c r="L14" s="214" t="s">
        <v>15</v>
      </c>
      <c r="M14" s="214" t="s">
        <v>15</v>
      </c>
      <c r="N14" s="214" t="s">
        <v>15</v>
      </c>
      <c r="O14" s="111"/>
      <c r="P14" s="50">
        <f t="shared" si="0"/>
        <v>193</v>
      </c>
      <c r="Q14" s="2"/>
    </row>
    <row r="15" spans="1:17" ht="12.75">
      <c r="A15" s="226">
        <v>1970</v>
      </c>
      <c r="B15" s="112"/>
      <c r="C15" s="49">
        <v>156</v>
      </c>
      <c r="D15" s="214" t="s">
        <v>15</v>
      </c>
      <c r="E15" s="214" t="s">
        <v>15</v>
      </c>
      <c r="F15" s="214" t="s">
        <v>15</v>
      </c>
      <c r="G15" s="214" t="s">
        <v>15</v>
      </c>
      <c r="H15" s="214" t="s">
        <v>15</v>
      </c>
      <c r="I15" s="214" t="s">
        <v>15</v>
      </c>
      <c r="J15" s="214" t="s">
        <v>15</v>
      </c>
      <c r="K15" s="214" t="s">
        <v>15</v>
      </c>
      <c r="L15" s="214" t="s">
        <v>15</v>
      </c>
      <c r="M15" s="214" t="s">
        <v>15</v>
      </c>
      <c r="N15" s="214" t="s">
        <v>15</v>
      </c>
      <c r="O15" s="111"/>
      <c r="P15" s="50">
        <f t="shared" si="0"/>
        <v>156</v>
      </c>
      <c r="Q15" s="2"/>
    </row>
    <row r="16" spans="1:17" ht="12.75">
      <c r="A16" s="226">
        <v>1971</v>
      </c>
      <c r="B16" s="112"/>
      <c r="C16" s="49">
        <v>126</v>
      </c>
      <c r="D16" s="214" t="s">
        <v>15</v>
      </c>
      <c r="E16" s="214" t="s">
        <v>15</v>
      </c>
      <c r="F16" s="214" t="s">
        <v>15</v>
      </c>
      <c r="G16" s="214" t="s">
        <v>15</v>
      </c>
      <c r="H16" s="214" t="s">
        <v>15</v>
      </c>
      <c r="I16" s="214" t="s">
        <v>15</v>
      </c>
      <c r="J16" s="214" t="s">
        <v>15</v>
      </c>
      <c r="K16" s="214" t="s">
        <v>15</v>
      </c>
      <c r="L16" s="214" t="s">
        <v>15</v>
      </c>
      <c r="M16" s="214" t="s">
        <v>15</v>
      </c>
      <c r="N16" s="214" t="s">
        <v>15</v>
      </c>
      <c r="O16" s="111"/>
      <c r="P16" s="50">
        <f t="shared" si="0"/>
        <v>126</v>
      </c>
      <c r="Q16" s="2"/>
    </row>
    <row r="17" spans="1:17" ht="12.75">
      <c r="A17" s="226">
        <v>1972</v>
      </c>
      <c r="B17" s="112"/>
      <c r="C17" s="49">
        <v>138</v>
      </c>
      <c r="D17" s="214" t="s">
        <v>15</v>
      </c>
      <c r="E17" s="214" t="s">
        <v>15</v>
      </c>
      <c r="F17" s="214" t="s">
        <v>15</v>
      </c>
      <c r="G17" s="214" t="s">
        <v>15</v>
      </c>
      <c r="H17" s="214" t="s">
        <v>15</v>
      </c>
      <c r="I17" s="214" t="s">
        <v>15</v>
      </c>
      <c r="J17" s="214" t="s">
        <v>15</v>
      </c>
      <c r="K17" s="214" t="s">
        <v>15</v>
      </c>
      <c r="L17" s="214" t="s">
        <v>15</v>
      </c>
      <c r="M17" s="214" t="s">
        <v>15</v>
      </c>
      <c r="N17" s="214" t="s">
        <v>15</v>
      </c>
      <c r="O17" s="111"/>
      <c r="P17" s="50">
        <f t="shared" si="0"/>
        <v>138</v>
      </c>
      <c r="Q17" s="2"/>
    </row>
    <row r="18" spans="1:17" ht="12.75">
      <c r="A18" s="226">
        <v>1973</v>
      </c>
      <c r="B18" s="112"/>
      <c r="C18" s="49">
        <v>111</v>
      </c>
      <c r="D18" s="49">
        <v>653</v>
      </c>
      <c r="E18" s="214" t="s">
        <v>15</v>
      </c>
      <c r="F18" s="214" t="s">
        <v>15</v>
      </c>
      <c r="G18" s="214" t="s">
        <v>15</v>
      </c>
      <c r="H18" s="214" t="s">
        <v>15</v>
      </c>
      <c r="I18" s="214" t="s">
        <v>15</v>
      </c>
      <c r="J18" s="214" t="s">
        <v>15</v>
      </c>
      <c r="K18" s="214" t="s">
        <v>15</v>
      </c>
      <c r="L18" s="214" t="s">
        <v>15</v>
      </c>
      <c r="M18" s="214" t="s">
        <v>15</v>
      </c>
      <c r="N18" s="214" t="s">
        <v>15</v>
      </c>
      <c r="O18" s="111"/>
      <c r="P18" s="50">
        <f t="shared" si="0"/>
        <v>764</v>
      </c>
      <c r="Q18" s="2"/>
    </row>
    <row r="19" spans="1:17" ht="12.75">
      <c r="A19" s="226">
        <v>1974</v>
      </c>
      <c r="B19" s="112"/>
      <c r="C19" s="49">
        <v>84</v>
      </c>
      <c r="D19" s="49">
        <v>1892</v>
      </c>
      <c r="E19" s="214" t="s">
        <v>15</v>
      </c>
      <c r="F19" s="214" t="s">
        <v>15</v>
      </c>
      <c r="G19" s="214" t="s">
        <v>15</v>
      </c>
      <c r="H19" s="214" t="s">
        <v>15</v>
      </c>
      <c r="I19" s="214" t="s">
        <v>15</v>
      </c>
      <c r="J19" s="214" t="s">
        <v>15</v>
      </c>
      <c r="K19" s="214" t="s">
        <v>15</v>
      </c>
      <c r="L19" s="214" t="s">
        <v>15</v>
      </c>
      <c r="M19" s="214" t="s">
        <v>15</v>
      </c>
      <c r="N19" s="214" t="s">
        <v>15</v>
      </c>
      <c r="O19" s="111"/>
      <c r="P19" s="50">
        <f t="shared" si="0"/>
        <v>1976</v>
      </c>
      <c r="Q19" s="2"/>
    </row>
    <row r="20" spans="1:17" ht="12.75">
      <c r="A20" s="226">
        <v>1975</v>
      </c>
      <c r="B20" s="112"/>
      <c r="C20" s="49">
        <v>66</v>
      </c>
      <c r="D20" s="49">
        <v>1961</v>
      </c>
      <c r="E20" s="214" t="s">
        <v>15</v>
      </c>
      <c r="F20" s="214" t="s">
        <v>15</v>
      </c>
      <c r="G20" s="214" t="s">
        <v>15</v>
      </c>
      <c r="H20" s="214" t="s">
        <v>15</v>
      </c>
      <c r="I20" s="214" t="s">
        <v>15</v>
      </c>
      <c r="J20" s="214" t="s">
        <v>15</v>
      </c>
      <c r="K20" s="214" t="s">
        <v>15</v>
      </c>
      <c r="L20" s="214" t="s">
        <v>15</v>
      </c>
      <c r="M20" s="214" t="s">
        <v>15</v>
      </c>
      <c r="N20" s="214" t="s">
        <v>15</v>
      </c>
      <c r="O20" s="111"/>
      <c r="P20" s="50">
        <f t="shared" si="0"/>
        <v>2027</v>
      </c>
      <c r="Q20" s="2"/>
    </row>
    <row r="21" spans="1:17" ht="12.75">
      <c r="A21" s="226">
        <v>1976</v>
      </c>
      <c r="B21" s="112"/>
      <c r="C21" s="49">
        <v>67</v>
      </c>
      <c r="D21" s="49">
        <v>1705</v>
      </c>
      <c r="E21" s="214" t="s">
        <v>15</v>
      </c>
      <c r="F21" s="214" t="s">
        <v>15</v>
      </c>
      <c r="G21" s="214" t="s">
        <v>15</v>
      </c>
      <c r="H21" s="214" t="s">
        <v>15</v>
      </c>
      <c r="I21" s="214" t="s">
        <v>15</v>
      </c>
      <c r="J21" s="214" t="s">
        <v>15</v>
      </c>
      <c r="K21" s="214" t="s">
        <v>15</v>
      </c>
      <c r="L21" s="214" t="s">
        <v>15</v>
      </c>
      <c r="M21" s="214" t="s">
        <v>15</v>
      </c>
      <c r="N21" s="214" t="s">
        <v>15</v>
      </c>
      <c r="O21" s="111"/>
      <c r="P21" s="50">
        <f t="shared" si="0"/>
        <v>1772</v>
      </c>
      <c r="Q21" s="2"/>
    </row>
    <row r="22" spans="1:17" ht="12.75">
      <c r="A22" s="226">
        <v>1977</v>
      </c>
      <c r="B22" s="112"/>
      <c r="C22" s="49">
        <v>65</v>
      </c>
      <c r="D22" s="49">
        <v>688</v>
      </c>
      <c r="E22" s="49">
        <v>109</v>
      </c>
      <c r="F22" s="49">
        <v>120</v>
      </c>
      <c r="G22" s="214" t="s">
        <v>15</v>
      </c>
      <c r="H22" s="214" t="s">
        <v>15</v>
      </c>
      <c r="I22" s="214" t="s">
        <v>15</v>
      </c>
      <c r="J22" s="214" t="s">
        <v>15</v>
      </c>
      <c r="K22" s="214" t="s">
        <v>15</v>
      </c>
      <c r="L22" s="214" t="s">
        <v>15</v>
      </c>
      <c r="M22" s="214" t="s">
        <v>15</v>
      </c>
      <c r="N22" s="214" t="s">
        <v>15</v>
      </c>
      <c r="O22" s="111"/>
      <c r="P22" s="50">
        <f t="shared" si="0"/>
        <v>982</v>
      </c>
      <c r="Q22" s="2"/>
    </row>
    <row r="23" spans="1:17" ht="12.75">
      <c r="A23" s="226">
        <v>1978</v>
      </c>
      <c r="B23" s="112"/>
      <c r="C23" s="49">
        <v>61</v>
      </c>
      <c r="D23" s="49">
        <v>383</v>
      </c>
      <c r="E23" s="49">
        <v>105</v>
      </c>
      <c r="F23" s="49">
        <v>267</v>
      </c>
      <c r="G23" s="49">
        <v>164</v>
      </c>
      <c r="H23" s="214" t="s">
        <v>15</v>
      </c>
      <c r="I23" s="214" t="s">
        <v>15</v>
      </c>
      <c r="J23" s="214" t="s">
        <v>15</v>
      </c>
      <c r="K23" s="214" t="s">
        <v>15</v>
      </c>
      <c r="L23" s="214" t="s">
        <v>15</v>
      </c>
      <c r="M23" s="214" t="s">
        <v>15</v>
      </c>
      <c r="N23" s="214" t="s">
        <v>15</v>
      </c>
      <c r="O23" s="111"/>
      <c r="P23" s="50">
        <f t="shared" si="0"/>
        <v>980</v>
      </c>
      <c r="Q23" s="2"/>
    </row>
    <row r="24" spans="1:17" ht="12.75">
      <c r="A24" s="226">
        <v>1979</v>
      </c>
      <c r="B24" s="112"/>
      <c r="C24" s="49">
        <v>74</v>
      </c>
      <c r="D24" s="49">
        <v>274</v>
      </c>
      <c r="E24" s="49">
        <v>11</v>
      </c>
      <c r="F24" s="49">
        <v>371</v>
      </c>
      <c r="G24" s="49">
        <v>429</v>
      </c>
      <c r="H24" s="214" t="s">
        <v>15</v>
      </c>
      <c r="I24" s="214" t="s">
        <v>15</v>
      </c>
      <c r="J24" s="214" t="s">
        <v>15</v>
      </c>
      <c r="K24" s="214" t="s">
        <v>15</v>
      </c>
      <c r="L24" s="214" t="s">
        <v>15</v>
      </c>
      <c r="M24" s="214" t="s">
        <v>15</v>
      </c>
      <c r="N24" s="214" t="s">
        <v>15</v>
      </c>
      <c r="O24" s="111"/>
      <c r="P24" s="50">
        <f t="shared" si="0"/>
        <v>1159</v>
      </c>
      <c r="Q24" s="2"/>
    </row>
    <row r="25" spans="1:17" ht="12.75">
      <c r="A25" s="226">
        <v>1980</v>
      </c>
      <c r="B25" s="112"/>
      <c r="C25" s="49">
        <v>61</v>
      </c>
      <c r="D25" s="49">
        <v>292</v>
      </c>
      <c r="E25" s="49">
        <v>672</v>
      </c>
      <c r="F25" s="49">
        <v>302</v>
      </c>
      <c r="G25" s="49">
        <v>267</v>
      </c>
      <c r="H25" s="214" t="s">
        <v>15</v>
      </c>
      <c r="I25" s="214" t="s">
        <v>15</v>
      </c>
      <c r="J25" s="214" t="s">
        <v>15</v>
      </c>
      <c r="K25" s="214" t="s">
        <v>15</v>
      </c>
      <c r="L25" s="214" t="s">
        <v>15</v>
      </c>
      <c r="M25" s="214" t="s">
        <v>15</v>
      </c>
      <c r="N25" s="214" t="s">
        <v>15</v>
      </c>
      <c r="O25" s="111"/>
      <c r="P25" s="50">
        <f t="shared" si="0"/>
        <v>1594</v>
      </c>
      <c r="Q25" s="2"/>
    </row>
    <row r="26" spans="1:17" ht="12.75">
      <c r="A26" s="226">
        <v>1981</v>
      </c>
      <c r="B26" s="112"/>
      <c r="C26" s="49">
        <v>68</v>
      </c>
      <c r="D26" s="49">
        <v>99</v>
      </c>
      <c r="E26" s="49">
        <v>670</v>
      </c>
      <c r="F26" s="49">
        <v>89</v>
      </c>
      <c r="G26" s="49">
        <v>300</v>
      </c>
      <c r="H26" s="214" t="s">
        <v>15</v>
      </c>
      <c r="I26" s="214" t="s">
        <v>15</v>
      </c>
      <c r="J26" s="214" t="s">
        <v>15</v>
      </c>
      <c r="K26" s="214" t="s">
        <v>15</v>
      </c>
      <c r="L26" s="214" t="s">
        <v>15</v>
      </c>
      <c r="M26" s="214" t="s">
        <v>15</v>
      </c>
      <c r="N26" s="214" t="s">
        <v>15</v>
      </c>
      <c r="O26" s="111"/>
      <c r="P26" s="50">
        <f t="shared" si="0"/>
        <v>1226</v>
      </c>
      <c r="Q26" s="2"/>
    </row>
    <row r="27" spans="1:17" ht="12.75">
      <c r="A27" s="226">
        <v>1982</v>
      </c>
      <c r="B27" s="112"/>
      <c r="C27" s="49">
        <v>76</v>
      </c>
      <c r="D27" s="49">
        <v>81</v>
      </c>
      <c r="E27" s="49">
        <v>902</v>
      </c>
      <c r="F27" s="49">
        <v>47</v>
      </c>
      <c r="G27" s="49">
        <v>424</v>
      </c>
      <c r="H27" s="214" t="s">
        <v>15</v>
      </c>
      <c r="I27" s="214" t="s">
        <v>15</v>
      </c>
      <c r="J27" s="214" t="s">
        <v>15</v>
      </c>
      <c r="K27" s="214" t="s">
        <v>15</v>
      </c>
      <c r="L27" s="214" t="s">
        <v>15</v>
      </c>
      <c r="M27" s="214" t="s">
        <v>15</v>
      </c>
      <c r="N27" s="214" t="s">
        <v>15</v>
      </c>
      <c r="O27" s="111"/>
      <c r="P27" s="50">
        <f t="shared" si="0"/>
        <v>1530</v>
      </c>
      <c r="Q27" s="2"/>
    </row>
    <row r="28" spans="1:17" ht="12.75">
      <c r="A28" s="226">
        <v>1983</v>
      </c>
      <c r="B28" s="112"/>
      <c r="C28" s="49">
        <v>79</v>
      </c>
      <c r="D28" s="49">
        <v>85</v>
      </c>
      <c r="E28" s="49">
        <v>2170</v>
      </c>
      <c r="F28" s="49">
        <v>277</v>
      </c>
      <c r="G28" s="49">
        <v>366</v>
      </c>
      <c r="H28" s="214" t="s">
        <v>15</v>
      </c>
      <c r="I28" s="214" t="s">
        <v>15</v>
      </c>
      <c r="J28" s="214" t="s">
        <v>15</v>
      </c>
      <c r="K28" s="214" t="s">
        <v>15</v>
      </c>
      <c r="L28" s="214" t="s">
        <v>15</v>
      </c>
      <c r="M28" s="214" t="s">
        <v>15</v>
      </c>
      <c r="N28" s="214" t="s">
        <v>15</v>
      </c>
      <c r="O28" s="111"/>
      <c r="P28" s="50">
        <f t="shared" si="0"/>
        <v>2977</v>
      </c>
      <c r="Q28" s="2"/>
    </row>
    <row r="29" spans="1:17" ht="12.75">
      <c r="A29" s="226">
        <v>1984</v>
      </c>
      <c r="B29" s="112"/>
      <c r="C29" s="49">
        <v>81</v>
      </c>
      <c r="D29" s="49">
        <v>44</v>
      </c>
      <c r="E29" s="49">
        <v>1623</v>
      </c>
      <c r="F29" s="49">
        <v>295</v>
      </c>
      <c r="G29" s="49">
        <v>202</v>
      </c>
      <c r="H29" s="49">
        <v>71</v>
      </c>
      <c r="I29" s="214" t="s">
        <v>15</v>
      </c>
      <c r="J29" s="214" t="s">
        <v>15</v>
      </c>
      <c r="K29" s="214" t="s">
        <v>15</v>
      </c>
      <c r="L29" s="214" t="s">
        <v>15</v>
      </c>
      <c r="M29" s="214" t="s">
        <v>15</v>
      </c>
      <c r="N29" s="214" t="s">
        <v>15</v>
      </c>
      <c r="O29" s="111"/>
      <c r="P29" s="50">
        <f t="shared" si="0"/>
        <v>2316</v>
      </c>
      <c r="Q29" s="2"/>
    </row>
    <row r="30" spans="1:17" ht="12.75">
      <c r="A30" s="226">
        <v>1985</v>
      </c>
      <c r="B30" s="112"/>
      <c r="C30" s="49">
        <v>86</v>
      </c>
      <c r="D30" s="49">
        <v>79</v>
      </c>
      <c r="E30" s="49">
        <v>1489</v>
      </c>
      <c r="F30" s="49">
        <v>172</v>
      </c>
      <c r="G30" s="49">
        <v>279</v>
      </c>
      <c r="H30" s="49">
        <v>72</v>
      </c>
      <c r="I30" s="49">
        <v>6</v>
      </c>
      <c r="J30" s="214" t="s">
        <v>15</v>
      </c>
      <c r="K30" s="214" t="s">
        <v>15</v>
      </c>
      <c r="L30" s="214" t="s">
        <v>15</v>
      </c>
      <c r="M30" s="214" t="s">
        <v>15</v>
      </c>
      <c r="N30" s="214" t="s">
        <v>15</v>
      </c>
      <c r="O30" s="111"/>
      <c r="P30" s="50">
        <f t="shared" si="0"/>
        <v>2183</v>
      </c>
      <c r="Q30" s="2"/>
    </row>
    <row r="31" spans="1:17" ht="12.75">
      <c r="A31" s="226">
        <v>1986</v>
      </c>
      <c r="B31" s="112"/>
      <c r="C31" s="49">
        <v>90</v>
      </c>
      <c r="D31" s="49">
        <v>80</v>
      </c>
      <c r="E31" s="49">
        <v>1596</v>
      </c>
      <c r="F31" s="49">
        <v>22</v>
      </c>
      <c r="G31" s="214" t="s">
        <v>15</v>
      </c>
      <c r="H31" s="49">
        <v>53</v>
      </c>
      <c r="I31" s="214" t="s">
        <v>15</v>
      </c>
      <c r="J31" s="214" t="s">
        <v>15</v>
      </c>
      <c r="K31" s="49">
        <v>17</v>
      </c>
      <c r="L31" s="214" t="s">
        <v>15</v>
      </c>
      <c r="M31" s="214" t="s">
        <v>15</v>
      </c>
      <c r="N31" s="214" t="s">
        <v>15</v>
      </c>
      <c r="O31" s="111"/>
      <c r="P31" s="50">
        <f t="shared" si="0"/>
        <v>1858</v>
      </c>
      <c r="Q31" s="2"/>
    </row>
    <row r="32" spans="1:17" ht="12.75">
      <c r="A32" s="226">
        <v>1987</v>
      </c>
      <c r="B32" s="112"/>
      <c r="C32" s="49">
        <v>66</v>
      </c>
      <c r="D32" s="49">
        <v>58</v>
      </c>
      <c r="E32" s="214" t="s">
        <v>15</v>
      </c>
      <c r="F32" s="214" t="s">
        <v>15</v>
      </c>
      <c r="G32" s="214" t="s">
        <v>15</v>
      </c>
      <c r="H32" s="214" t="s">
        <v>15</v>
      </c>
      <c r="I32" s="214" t="s">
        <v>15</v>
      </c>
      <c r="J32" s="49">
        <v>1463</v>
      </c>
      <c r="K32" s="49">
        <v>55</v>
      </c>
      <c r="L32" s="214" t="s">
        <v>15</v>
      </c>
      <c r="M32" s="214" t="s">
        <v>15</v>
      </c>
      <c r="N32" s="214" t="s">
        <v>15</v>
      </c>
      <c r="O32" s="111"/>
      <c r="P32" s="50">
        <f t="shared" si="0"/>
        <v>1642</v>
      </c>
      <c r="Q32" s="2"/>
    </row>
    <row r="33" spans="1:17" ht="12.75">
      <c r="A33" s="226">
        <v>1988</v>
      </c>
      <c r="B33" s="112"/>
      <c r="C33" s="49">
        <v>53</v>
      </c>
      <c r="D33" s="49">
        <v>40</v>
      </c>
      <c r="E33" s="214" t="s">
        <v>15</v>
      </c>
      <c r="F33" s="214" t="s">
        <v>15</v>
      </c>
      <c r="G33" s="214" t="s">
        <v>15</v>
      </c>
      <c r="H33" s="214" t="s">
        <v>15</v>
      </c>
      <c r="I33" s="214" t="s">
        <v>15</v>
      </c>
      <c r="J33" s="49">
        <v>1313</v>
      </c>
      <c r="K33" s="49">
        <v>77</v>
      </c>
      <c r="L33" s="214" t="s">
        <v>15</v>
      </c>
      <c r="M33" s="214" t="s">
        <v>15</v>
      </c>
      <c r="N33" s="214" t="s">
        <v>15</v>
      </c>
      <c r="O33" s="111"/>
      <c r="P33" s="50">
        <f t="shared" si="0"/>
        <v>1483</v>
      </c>
      <c r="Q33" s="2"/>
    </row>
    <row r="34" spans="1:17" ht="12.75">
      <c r="A34" s="226">
        <v>1989</v>
      </c>
      <c r="B34" s="112"/>
      <c r="C34" s="49">
        <v>37</v>
      </c>
      <c r="D34" s="214" t="s">
        <v>15</v>
      </c>
      <c r="E34" s="214" t="s">
        <v>15</v>
      </c>
      <c r="F34" s="214" t="s">
        <v>15</v>
      </c>
      <c r="G34" s="214" t="s">
        <v>15</v>
      </c>
      <c r="H34" s="214" t="s">
        <v>15</v>
      </c>
      <c r="I34" s="214" t="s">
        <v>15</v>
      </c>
      <c r="J34" s="49">
        <v>874</v>
      </c>
      <c r="K34" s="49">
        <v>126</v>
      </c>
      <c r="L34" s="214" t="s">
        <v>15</v>
      </c>
      <c r="M34" s="214" t="s">
        <v>15</v>
      </c>
      <c r="N34" s="214" t="s">
        <v>15</v>
      </c>
      <c r="O34" s="111"/>
      <c r="P34" s="50">
        <f t="shared" si="0"/>
        <v>1037</v>
      </c>
      <c r="Q34" s="2"/>
    </row>
    <row r="35" spans="1:17" ht="12.75">
      <c r="A35" s="226">
        <v>1990</v>
      </c>
      <c r="B35" s="112"/>
      <c r="C35" s="49">
        <v>29</v>
      </c>
      <c r="D35" s="214" t="s">
        <v>15</v>
      </c>
      <c r="E35" s="214" t="s">
        <v>15</v>
      </c>
      <c r="F35" s="214" t="s">
        <v>15</v>
      </c>
      <c r="G35" s="214" t="s">
        <v>15</v>
      </c>
      <c r="H35" s="214" t="s">
        <v>15</v>
      </c>
      <c r="I35" s="214" t="s">
        <v>15</v>
      </c>
      <c r="J35" s="49">
        <v>674</v>
      </c>
      <c r="K35" s="49">
        <v>93</v>
      </c>
      <c r="L35" s="214" t="s">
        <v>15</v>
      </c>
      <c r="M35" s="214" t="s">
        <v>15</v>
      </c>
      <c r="N35" s="214" t="s">
        <v>15</v>
      </c>
      <c r="O35" s="111"/>
      <c r="P35" s="50">
        <f t="shared" si="0"/>
        <v>796</v>
      </c>
      <c r="Q35" s="2"/>
    </row>
    <row r="36" spans="1:17" ht="12.75">
      <c r="A36" s="226">
        <v>1991</v>
      </c>
      <c r="B36" s="112"/>
      <c r="C36" s="49">
        <v>26</v>
      </c>
      <c r="D36" s="214" t="s">
        <v>15</v>
      </c>
      <c r="E36" s="214" t="s">
        <v>15</v>
      </c>
      <c r="F36" s="214" t="s">
        <v>15</v>
      </c>
      <c r="G36" s="214" t="s">
        <v>15</v>
      </c>
      <c r="H36" s="214" t="s">
        <v>15</v>
      </c>
      <c r="I36" s="214" t="s">
        <v>15</v>
      </c>
      <c r="J36" s="49">
        <v>963</v>
      </c>
      <c r="K36" s="49">
        <v>78</v>
      </c>
      <c r="L36" s="214" t="s">
        <v>15</v>
      </c>
      <c r="M36" s="214" t="s">
        <v>15</v>
      </c>
      <c r="N36" s="214" t="s">
        <v>15</v>
      </c>
      <c r="O36" s="111"/>
      <c r="P36" s="50">
        <f t="shared" si="0"/>
        <v>1067</v>
      </c>
      <c r="Q36" s="2"/>
    </row>
    <row r="37" spans="1:17" ht="12.75">
      <c r="A37" s="226">
        <v>1992</v>
      </c>
      <c r="B37" s="112"/>
      <c r="C37" s="49">
        <v>20</v>
      </c>
      <c r="D37" s="214" t="s">
        <v>15</v>
      </c>
      <c r="E37" s="214" t="s">
        <v>15</v>
      </c>
      <c r="F37" s="214" t="s">
        <v>15</v>
      </c>
      <c r="G37" s="214" t="s">
        <v>15</v>
      </c>
      <c r="H37" s="214" t="s">
        <v>15</v>
      </c>
      <c r="I37" s="214" t="s">
        <v>15</v>
      </c>
      <c r="J37" s="49">
        <v>993</v>
      </c>
      <c r="K37" s="49">
        <v>59</v>
      </c>
      <c r="L37" s="214" t="s">
        <v>15</v>
      </c>
      <c r="M37" s="214" t="s">
        <v>15</v>
      </c>
      <c r="N37" s="214" t="s">
        <v>15</v>
      </c>
      <c r="O37" s="111"/>
      <c r="P37" s="50">
        <f t="shared" si="0"/>
        <v>1072</v>
      </c>
      <c r="Q37" s="2"/>
    </row>
    <row r="38" spans="1:17" ht="12.75">
      <c r="A38" s="226">
        <v>1993</v>
      </c>
      <c r="B38" s="112"/>
      <c r="C38" s="49">
        <v>17</v>
      </c>
      <c r="D38" s="214" t="s">
        <v>15</v>
      </c>
      <c r="E38" s="214" t="s">
        <v>15</v>
      </c>
      <c r="F38" s="214" t="s">
        <v>15</v>
      </c>
      <c r="G38" s="214" t="s">
        <v>15</v>
      </c>
      <c r="H38" s="214" t="s">
        <v>15</v>
      </c>
      <c r="I38" s="214" t="s">
        <v>15</v>
      </c>
      <c r="J38" s="49">
        <v>833</v>
      </c>
      <c r="K38" s="49">
        <v>25</v>
      </c>
      <c r="L38" s="214" t="s">
        <v>15</v>
      </c>
      <c r="M38" s="214" t="s">
        <v>15</v>
      </c>
      <c r="N38" s="214" t="s">
        <v>15</v>
      </c>
      <c r="O38" s="111"/>
      <c r="P38" s="50">
        <f t="shared" si="0"/>
        <v>875</v>
      </c>
      <c r="Q38" s="2"/>
    </row>
    <row r="39" spans="1:17" ht="12.75">
      <c r="A39" s="226">
        <v>1994</v>
      </c>
      <c r="B39" s="112"/>
      <c r="C39" s="49">
        <v>16</v>
      </c>
      <c r="D39" s="214" t="s">
        <v>15</v>
      </c>
      <c r="E39" s="214" t="s">
        <v>15</v>
      </c>
      <c r="F39" s="214" t="s">
        <v>15</v>
      </c>
      <c r="G39" s="214" t="s">
        <v>15</v>
      </c>
      <c r="H39" s="214" t="s">
        <v>15</v>
      </c>
      <c r="I39" s="214" t="s">
        <v>15</v>
      </c>
      <c r="J39" s="49">
        <v>786</v>
      </c>
      <c r="K39" s="49">
        <v>5</v>
      </c>
      <c r="L39" s="214" t="s">
        <v>15</v>
      </c>
      <c r="M39" s="214" t="s">
        <v>15</v>
      </c>
      <c r="N39" s="214" t="s">
        <v>15</v>
      </c>
      <c r="O39" s="111"/>
      <c r="P39" s="50">
        <f t="shared" si="0"/>
        <v>807</v>
      </c>
      <c r="Q39" s="2"/>
    </row>
    <row r="40" spans="1:17" ht="12.75">
      <c r="A40" s="226">
        <v>1995</v>
      </c>
      <c r="B40" s="112"/>
      <c r="C40" s="49">
        <v>14</v>
      </c>
      <c r="D40" s="214" t="s">
        <v>15</v>
      </c>
      <c r="E40" s="214" t="s">
        <v>15</v>
      </c>
      <c r="F40" s="214" t="s">
        <v>15</v>
      </c>
      <c r="G40" s="214" t="s">
        <v>15</v>
      </c>
      <c r="H40" s="214" t="s">
        <v>15</v>
      </c>
      <c r="I40" s="214" t="s">
        <v>15</v>
      </c>
      <c r="J40" s="49">
        <v>636</v>
      </c>
      <c r="K40" s="49">
        <v>1</v>
      </c>
      <c r="L40" s="49">
        <v>1</v>
      </c>
      <c r="M40" s="214" t="s">
        <v>15</v>
      </c>
      <c r="N40" s="214" t="s">
        <v>15</v>
      </c>
      <c r="O40" s="111"/>
      <c r="P40" s="50">
        <f t="shared" si="0"/>
        <v>652</v>
      </c>
      <c r="Q40" s="2"/>
    </row>
    <row r="41" spans="1:17" ht="12.75">
      <c r="A41" s="226">
        <v>1996</v>
      </c>
      <c r="B41" s="112"/>
      <c r="C41" s="49">
        <v>15</v>
      </c>
      <c r="D41" s="214" t="s">
        <v>15</v>
      </c>
      <c r="E41" s="214" t="s">
        <v>15</v>
      </c>
      <c r="F41" s="214" t="s">
        <v>15</v>
      </c>
      <c r="G41" s="214" t="s">
        <v>15</v>
      </c>
      <c r="H41" s="214" t="s">
        <v>15</v>
      </c>
      <c r="I41" s="214" t="s">
        <v>15</v>
      </c>
      <c r="J41" s="49">
        <v>406</v>
      </c>
      <c r="K41" s="214" t="s">
        <v>15</v>
      </c>
      <c r="L41" s="49">
        <v>6</v>
      </c>
      <c r="M41" s="214">
        <v>89</v>
      </c>
      <c r="N41" s="214" t="s">
        <v>15</v>
      </c>
      <c r="O41" s="111"/>
      <c r="P41" s="50">
        <f t="shared" si="0"/>
        <v>516</v>
      </c>
      <c r="Q41" s="2"/>
    </row>
    <row r="42" spans="1:17" ht="12.75">
      <c r="A42" s="314">
        <v>1997</v>
      </c>
      <c r="B42" s="312"/>
      <c r="C42" s="315">
        <v>12</v>
      </c>
      <c r="D42" s="316" t="s">
        <v>15</v>
      </c>
      <c r="E42" s="316" t="s">
        <v>15</v>
      </c>
      <c r="F42" s="316" t="s">
        <v>15</v>
      </c>
      <c r="G42" s="316" t="s">
        <v>15</v>
      </c>
      <c r="H42" s="316" t="s">
        <v>15</v>
      </c>
      <c r="I42" s="316" t="s">
        <v>15</v>
      </c>
      <c r="J42" s="315">
        <v>182</v>
      </c>
      <c r="K42" s="316" t="s">
        <v>15</v>
      </c>
      <c r="L42" s="315">
        <v>1</v>
      </c>
      <c r="M42" s="316">
        <v>117</v>
      </c>
      <c r="N42" s="316">
        <v>66</v>
      </c>
      <c r="O42" s="313"/>
      <c r="P42" s="317">
        <f t="shared" si="0"/>
        <v>378</v>
      </c>
      <c r="Q42" s="2"/>
    </row>
    <row r="43" spans="1:17" ht="12.75">
      <c r="A43" s="314">
        <v>1998</v>
      </c>
      <c r="B43" s="312"/>
      <c r="C43" s="315">
        <v>12</v>
      </c>
      <c r="D43" s="316" t="s">
        <v>15</v>
      </c>
      <c r="E43" s="316" t="s">
        <v>15</v>
      </c>
      <c r="F43" s="316" t="s">
        <v>15</v>
      </c>
      <c r="G43" s="316" t="s">
        <v>15</v>
      </c>
      <c r="H43" s="316" t="s">
        <v>15</v>
      </c>
      <c r="I43" s="316" t="s">
        <v>15</v>
      </c>
      <c r="J43" s="315">
        <v>137</v>
      </c>
      <c r="K43" s="316" t="s">
        <v>15</v>
      </c>
      <c r="L43" s="316" t="s">
        <v>15</v>
      </c>
      <c r="M43" s="316">
        <v>95</v>
      </c>
      <c r="N43" s="316">
        <v>287</v>
      </c>
      <c r="O43" s="313"/>
      <c r="P43" s="317">
        <f t="shared" si="0"/>
        <v>531</v>
      </c>
      <c r="Q43" s="2"/>
    </row>
    <row r="44" spans="1:17" ht="12.75">
      <c r="A44" s="314">
        <v>1999</v>
      </c>
      <c r="B44" s="312"/>
      <c r="C44" s="315">
        <v>11</v>
      </c>
      <c r="D44" s="316" t="s">
        <v>15</v>
      </c>
      <c r="E44" s="316" t="s">
        <v>15</v>
      </c>
      <c r="F44" s="316" t="s">
        <v>15</v>
      </c>
      <c r="G44" s="316" t="s">
        <v>15</v>
      </c>
      <c r="H44" s="316" t="s">
        <v>15</v>
      </c>
      <c r="I44" s="316" t="s">
        <v>15</v>
      </c>
      <c r="J44" s="315">
        <v>136</v>
      </c>
      <c r="K44" s="316" t="s">
        <v>15</v>
      </c>
      <c r="L44" s="316" t="s">
        <v>15</v>
      </c>
      <c r="M44" s="316">
        <v>51</v>
      </c>
      <c r="N44" s="316">
        <v>102</v>
      </c>
      <c r="O44" s="313"/>
      <c r="P44" s="317">
        <f t="shared" si="0"/>
        <v>300</v>
      </c>
      <c r="Q44" s="2"/>
    </row>
    <row r="45" spans="1:17" ht="12.75">
      <c r="A45" s="314">
        <v>2000</v>
      </c>
      <c r="B45" s="312"/>
      <c r="C45" s="315">
        <v>8</v>
      </c>
      <c r="D45" s="316" t="s">
        <v>15</v>
      </c>
      <c r="E45" s="316" t="s">
        <v>15</v>
      </c>
      <c r="F45" s="316" t="s">
        <v>15</v>
      </c>
      <c r="G45" s="316" t="s">
        <v>15</v>
      </c>
      <c r="H45" s="316" t="s">
        <v>15</v>
      </c>
      <c r="I45" s="316" t="s">
        <v>15</v>
      </c>
      <c r="J45" s="315">
        <v>127</v>
      </c>
      <c r="K45" s="316" t="s">
        <v>15</v>
      </c>
      <c r="L45" s="316" t="s">
        <v>15</v>
      </c>
      <c r="M45" s="316">
        <v>38</v>
      </c>
      <c r="N45" s="316">
        <v>56</v>
      </c>
      <c r="O45" s="313"/>
      <c r="P45" s="317">
        <f t="shared" si="0"/>
        <v>229</v>
      </c>
      <c r="Q45" s="2"/>
    </row>
    <row r="46" spans="1:16" ht="12.75">
      <c r="A46" s="314">
        <v>2001</v>
      </c>
      <c r="B46" s="312"/>
      <c r="C46" s="315">
        <v>8</v>
      </c>
      <c r="D46" s="316" t="s">
        <v>15</v>
      </c>
      <c r="E46" s="316" t="s">
        <v>15</v>
      </c>
      <c r="F46" s="316" t="s">
        <v>15</v>
      </c>
      <c r="G46" s="316" t="s">
        <v>15</v>
      </c>
      <c r="H46" s="316" t="s">
        <v>15</v>
      </c>
      <c r="I46" s="316" t="s">
        <v>15</v>
      </c>
      <c r="J46" s="315">
        <v>120</v>
      </c>
      <c r="K46" s="316" t="s">
        <v>15</v>
      </c>
      <c r="L46" s="316" t="s">
        <v>15</v>
      </c>
      <c r="M46" s="316">
        <v>166</v>
      </c>
      <c r="N46" s="316">
        <v>44</v>
      </c>
      <c r="O46" s="313"/>
      <c r="P46" s="317">
        <f t="shared" si="0"/>
        <v>338</v>
      </c>
    </row>
    <row r="47" spans="1:16" ht="12.75">
      <c r="A47" s="314">
        <v>2002</v>
      </c>
      <c r="B47" s="312"/>
      <c r="C47" s="315">
        <v>8</v>
      </c>
      <c r="D47" s="316" t="s">
        <v>15</v>
      </c>
      <c r="E47" s="316" t="s">
        <v>15</v>
      </c>
      <c r="F47" s="316" t="s">
        <v>15</v>
      </c>
      <c r="G47" s="316" t="s">
        <v>15</v>
      </c>
      <c r="H47" s="316" t="s">
        <v>15</v>
      </c>
      <c r="I47" s="316" t="s">
        <v>15</v>
      </c>
      <c r="J47" s="315">
        <v>108</v>
      </c>
      <c r="K47" s="316" t="s">
        <v>15</v>
      </c>
      <c r="L47" s="316" t="s">
        <v>15</v>
      </c>
      <c r="M47" s="316">
        <v>167</v>
      </c>
      <c r="N47" s="316">
        <v>33</v>
      </c>
      <c r="O47" s="313"/>
      <c r="P47" s="317">
        <f t="shared" si="0"/>
        <v>316</v>
      </c>
    </row>
    <row r="48" spans="1:16" ht="12.75">
      <c r="A48" s="314">
        <v>2003</v>
      </c>
      <c r="B48" s="312"/>
      <c r="C48" s="315">
        <v>7</v>
      </c>
      <c r="D48" s="316" t="s">
        <v>15</v>
      </c>
      <c r="E48" s="316" t="s">
        <v>15</v>
      </c>
      <c r="F48" s="316" t="s">
        <v>15</v>
      </c>
      <c r="G48" s="316" t="s">
        <v>15</v>
      </c>
      <c r="H48" s="316" t="s">
        <v>15</v>
      </c>
      <c r="I48" s="316" t="s">
        <v>15</v>
      </c>
      <c r="J48" s="315">
        <v>230</v>
      </c>
      <c r="K48" s="316" t="s">
        <v>15</v>
      </c>
      <c r="L48" s="316" t="s">
        <v>15</v>
      </c>
      <c r="M48" s="316">
        <v>63</v>
      </c>
      <c r="N48" s="316">
        <v>20</v>
      </c>
      <c r="O48" s="313"/>
      <c r="P48" s="317">
        <f t="shared" si="0"/>
        <v>320</v>
      </c>
    </row>
    <row r="49" spans="1:16" ht="12.75">
      <c r="A49" s="399">
        <v>2004</v>
      </c>
      <c r="B49" s="2"/>
      <c r="C49" s="2">
        <v>6</v>
      </c>
      <c r="D49" s="306" t="s">
        <v>15</v>
      </c>
      <c r="E49" s="306" t="s">
        <v>15</v>
      </c>
      <c r="F49" s="306" t="s">
        <v>15</v>
      </c>
      <c r="G49" s="306" t="s">
        <v>15</v>
      </c>
      <c r="H49" s="306" t="s">
        <v>15</v>
      </c>
      <c r="I49" s="306" t="s">
        <v>15</v>
      </c>
      <c r="J49" s="2">
        <v>173</v>
      </c>
      <c r="K49" s="306" t="s">
        <v>15</v>
      </c>
      <c r="L49" s="306" t="s">
        <v>15</v>
      </c>
      <c r="M49" s="2">
        <v>55</v>
      </c>
      <c r="N49" s="2">
        <v>21</v>
      </c>
      <c r="O49" s="2"/>
      <c r="P49" s="398">
        <f t="shared" si="0"/>
        <v>255</v>
      </c>
    </row>
    <row r="50" spans="1:16" ht="13.5" thickBot="1">
      <c r="A50" s="400">
        <v>2005</v>
      </c>
      <c r="B50" s="401"/>
      <c r="C50" s="401">
        <v>6</v>
      </c>
      <c r="D50" s="402" t="s">
        <v>15</v>
      </c>
      <c r="E50" s="402" t="s">
        <v>15</v>
      </c>
      <c r="F50" s="402" t="s">
        <v>15</v>
      </c>
      <c r="G50" s="402" t="s">
        <v>15</v>
      </c>
      <c r="H50" s="402" t="s">
        <v>15</v>
      </c>
      <c r="I50" s="402" t="s">
        <v>15</v>
      </c>
      <c r="J50" s="401">
        <v>100</v>
      </c>
      <c r="K50" s="402" t="s">
        <v>15</v>
      </c>
      <c r="L50" s="402" t="s">
        <v>15</v>
      </c>
      <c r="M50" s="401">
        <v>34</v>
      </c>
      <c r="N50" s="401">
        <v>26</v>
      </c>
      <c r="O50" s="401"/>
      <c r="P50" s="403">
        <f>SUM(C50:O50)</f>
        <v>166</v>
      </c>
    </row>
    <row r="51" spans="1:16" ht="13.5" thickTop="1">
      <c r="A51" s="305"/>
      <c r="B51" s="2"/>
      <c r="C51" s="2"/>
      <c r="D51" s="306"/>
      <c r="E51" s="306"/>
      <c r="F51" s="306"/>
      <c r="G51" s="306"/>
      <c r="H51" s="306"/>
      <c r="I51" s="306"/>
      <c r="J51" s="2"/>
      <c r="K51" s="306"/>
      <c r="L51" s="2"/>
      <c r="M51" s="2"/>
      <c r="N51" s="2"/>
      <c r="O51" s="2"/>
      <c r="P51" s="3"/>
    </row>
    <row r="52" spans="1:16" ht="12.75">
      <c r="A52" s="305"/>
      <c r="B52" s="2"/>
      <c r="C52" s="2"/>
      <c r="D52" s="306"/>
      <c r="E52" s="306"/>
      <c r="F52" s="306"/>
      <c r="G52" s="306"/>
      <c r="H52" s="306"/>
      <c r="I52" s="306"/>
      <c r="J52" s="2"/>
      <c r="K52" s="306"/>
      <c r="L52" s="2"/>
      <c r="M52" s="2"/>
      <c r="N52" s="2"/>
      <c r="O52" s="2"/>
      <c r="P52" s="3"/>
    </row>
    <row r="139" spans="1:3" ht="12.75">
      <c r="A139" s="208"/>
      <c r="C139" s="204"/>
    </row>
  </sheetData>
  <printOptions horizontalCentered="1"/>
  <pageMargins left="0.5905511811023623" right="0.3937007874015748" top="0.5905511811023623" bottom="0.5905511811023623" header="0.5118110236220472" footer="0.31496062992125984"/>
  <pageSetup fitToHeight="1" fitToWidth="1" horizontalDpi="300" verticalDpi="300" orientation="landscape" paperSize="9" scale="80" r:id="rId2"/>
  <headerFooter alignWithMargins="0">
    <oddFooter>&amp;C&amp;9 3.9&amp;R&amp;9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Producción / Production</dc:title>
  <dc:subject/>
  <dc:creator/>
  <cp:keywords/>
  <dc:description/>
  <cp:lastModifiedBy>Pherreros</cp:lastModifiedBy>
  <cp:lastPrinted>2006-06-05T12:05:42Z</cp:lastPrinted>
  <dcterms:created xsi:type="dcterms:W3CDTF">2002-07-08T11:56:43Z</dcterms:created>
  <dcterms:modified xsi:type="dcterms:W3CDTF">2006-06-14T08:53:25Z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3.00000000000000</vt:lpwstr>
  </property>
  <property fmtid="{D5CDD505-2E9C-101B-9397-08002B2CF9AE}" pid="5" name="ContentTy">
    <vt:lpwstr>Documento</vt:lpwstr>
  </property>
  <property fmtid="{D5CDD505-2E9C-101B-9397-08002B2CF9AE}" pid="6" name="MCLDOrd">
    <vt:lpwstr>100.000000000000</vt:lpwstr>
  </property>
</Properties>
</file>