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c-ajjm\pd-ifn4\Sig\P09\TABLAS\TABLAS ENTREGA\2. Dendrometría\"/>
    </mc:Choice>
  </mc:AlternateContent>
  <bookViews>
    <workbookView xWindow="120" yWindow="150" windowWidth="18915" windowHeight="11055"/>
  </bookViews>
  <sheets>
    <sheet name="09-409" sheetId="1" r:id="rId1"/>
  </sheets>
  <definedNames>
    <definedName name="_xlnm._FilterDatabase" localSheetId="0" hidden="1">'09-409'!$A$6:$Q$84</definedName>
  </definedNames>
  <calcPr calcId="162913"/>
</workbook>
</file>

<file path=xl/calcChain.xml><?xml version="1.0" encoding="utf-8"?>
<calcChain xmlns="http://schemas.openxmlformats.org/spreadsheetml/2006/main">
  <c r="O86" i="1" l="1"/>
  <c r="J86" i="1"/>
  <c r="I86" i="1"/>
  <c r="F86" i="1"/>
  <c r="N86" i="1" s="1"/>
  <c r="E86" i="1"/>
  <c r="H86" i="1" s="1"/>
  <c r="O85" i="1"/>
  <c r="J85" i="1"/>
  <c r="I85" i="1"/>
  <c r="F85" i="1"/>
  <c r="N85" i="1" s="1"/>
  <c r="E85" i="1"/>
  <c r="H85" i="1" s="1"/>
  <c r="P84" i="1"/>
  <c r="O84" i="1"/>
  <c r="Q84" i="1" s="1"/>
  <c r="N84" i="1"/>
  <c r="J84" i="1"/>
  <c r="H84" i="1"/>
  <c r="F84" i="1"/>
  <c r="O83" i="1"/>
  <c r="N83" i="1"/>
  <c r="J83" i="1"/>
  <c r="H83" i="1"/>
  <c r="F83" i="1"/>
  <c r="O82" i="1"/>
  <c r="J82" i="1"/>
  <c r="I82" i="1"/>
  <c r="F82" i="1"/>
  <c r="E82" i="1"/>
  <c r="H82" i="1" s="1"/>
  <c r="Q81" i="1"/>
  <c r="O81" i="1"/>
  <c r="N81" i="1"/>
  <c r="P81" i="1" s="1"/>
  <c r="J81" i="1"/>
  <c r="H81" i="1"/>
  <c r="F81" i="1"/>
  <c r="O80" i="1"/>
  <c r="N80" i="1"/>
  <c r="J80" i="1"/>
  <c r="H80" i="1"/>
  <c r="F80" i="1"/>
  <c r="O79" i="1"/>
  <c r="N79" i="1"/>
  <c r="J79" i="1"/>
  <c r="I79" i="1"/>
  <c r="H79" i="1"/>
  <c r="F79" i="1"/>
  <c r="E79" i="1"/>
  <c r="O78" i="1"/>
  <c r="Q78" i="1" s="1"/>
  <c r="J78" i="1"/>
  <c r="H78" i="1"/>
  <c r="N78" i="1" s="1"/>
  <c r="P78" i="1" s="1"/>
  <c r="F78" i="1"/>
  <c r="O77" i="1"/>
  <c r="J77" i="1"/>
  <c r="H77" i="1"/>
  <c r="N77" i="1" s="1"/>
  <c r="F77" i="1"/>
  <c r="O76" i="1"/>
  <c r="J76" i="1"/>
  <c r="H76" i="1"/>
  <c r="N76" i="1" s="1"/>
  <c r="F76" i="1"/>
  <c r="O75" i="1"/>
  <c r="J75" i="1"/>
  <c r="I75" i="1"/>
  <c r="F75" i="1"/>
  <c r="E75" i="1"/>
  <c r="H75" i="1" s="1"/>
  <c r="O74" i="1"/>
  <c r="N74" i="1"/>
  <c r="J74" i="1"/>
  <c r="H74" i="1"/>
  <c r="F74" i="1"/>
  <c r="O73" i="1"/>
  <c r="N73" i="1"/>
  <c r="J73" i="1"/>
  <c r="I73" i="1"/>
  <c r="H73" i="1"/>
  <c r="F73" i="1"/>
  <c r="O72" i="1"/>
  <c r="J72" i="1"/>
  <c r="I72" i="1"/>
  <c r="F72" i="1"/>
  <c r="E72" i="1"/>
  <c r="H72" i="1" s="1"/>
  <c r="O71" i="1"/>
  <c r="J71" i="1"/>
  <c r="I71" i="1"/>
  <c r="H71" i="1"/>
  <c r="N71" i="1" s="1"/>
  <c r="F71" i="1"/>
  <c r="E71" i="1"/>
  <c r="O70" i="1"/>
  <c r="J70" i="1"/>
  <c r="I70" i="1"/>
  <c r="H70" i="1"/>
  <c r="F70" i="1"/>
  <c r="N70" i="1" s="1"/>
  <c r="E70" i="1"/>
  <c r="O69" i="1"/>
  <c r="J69" i="1"/>
  <c r="H69" i="1"/>
  <c r="F69" i="1"/>
  <c r="N69" i="1" s="1"/>
  <c r="O68" i="1"/>
  <c r="J68" i="1"/>
  <c r="I68" i="1"/>
  <c r="F68" i="1"/>
  <c r="E68" i="1"/>
  <c r="H68" i="1" s="1"/>
  <c r="O67" i="1"/>
  <c r="L67" i="1"/>
  <c r="K67" i="1"/>
  <c r="J67" i="1"/>
  <c r="H67" i="1"/>
  <c r="G67" i="1"/>
  <c r="F67" i="1"/>
  <c r="N67" i="1" s="1"/>
  <c r="O66" i="1"/>
  <c r="N66" i="1"/>
  <c r="J66" i="1"/>
  <c r="I66" i="1"/>
  <c r="H66" i="1"/>
  <c r="F66" i="1"/>
  <c r="E66" i="1"/>
  <c r="O65" i="1"/>
  <c r="J65" i="1"/>
  <c r="I65" i="1"/>
  <c r="F65" i="1"/>
  <c r="E65" i="1"/>
  <c r="H65" i="1" s="1"/>
  <c r="O64" i="1"/>
  <c r="J64" i="1"/>
  <c r="H64" i="1"/>
  <c r="N64" i="1" s="1"/>
  <c r="F64" i="1"/>
  <c r="O63" i="1"/>
  <c r="J63" i="1"/>
  <c r="H63" i="1"/>
  <c r="N63" i="1" s="1"/>
  <c r="F63" i="1"/>
  <c r="O62" i="1"/>
  <c r="L62" i="1"/>
  <c r="K62" i="1"/>
  <c r="J62" i="1"/>
  <c r="H62" i="1"/>
  <c r="G62" i="1"/>
  <c r="F62" i="1"/>
  <c r="N62" i="1" s="1"/>
  <c r="O61" i="1"/>
  <c r="J61" i="1"/>
  <c r="I61" i="1"/>
  <c r="F61" i="1"/>
  <c r="E61" i="1"/>
  <c r="H61" i="1" s="1"/>
  <c r="O60" i="1"/>
  <c r="J60" i="1"/>
  <c r="I60" i="1"/>
  <c r="H60" i="1"/>
  <c r="F60" i="1"/>
  <c r="N60" i="1" s="1"/>
  <c r="E60" i="1"/>
  <c r="O59" i="1"/>
  <c r="J59" i="1"/>
  <c r="I59" i="1"/>
  <c r="H59" i="1"/>
  <c r="F59" i="1"/>
  <c r="N59" i="1" s="1"/>
  <c r="E59" i="1"/>
  <c r="O58" i="1"/>
  <c r="J58" i="1"/>
  <c r="I58" i="1"/>
  <c r="F58" i="1"/>
  <c r="E58" i="1"/>
  <c r="H58" i="1" s="1"/>
  <c r="O57" i="1"/>
  <c r="J57" i="1"/>
  <c r="I57" i="1"/>
  <c r="H57" i="1"/>
  <c r="F57" i="1"/>
  <c r="N57" i="1" s="1"/>
  <c r="O56" i="1"/>
  <c r="J56" i="1"/>
  <c r="I56" i="1"/>
  <c r="F56" i="1"/>
  <c r="E56" i="1"/>
  <c r="H56" i="1" s="1"/>
  <c r="O55" i="1"/>
  <c r="N55" i="1"/>
  <c r="J55" i="1"/>
  <c r="I55" i="1"/>
  <c r="H55" i="1"/>
  <c r="F55" i="1"/>
  <c r="E55" i="1"/>
  <c r="O54" i="1"/>
  <c r="J54" i="1"/>
  <c r="I54" i="1"/>
  <c r="F54" i="1"/>
  <c r="E54" i="1"/>
  <c r="H54" i="1" s="1"/>
  <c r="O53" i="1"/>
  <c r="J53" i="1"/>
  <c r="I53" i="1"/>
  <c r="F53" i="1"/>
  <c r="E53" i="1"/>
  <c r="H53" i="1" s="1"/>
  <c r="O52" i="1"/>
  <c r="N52" i="1"/>
  <c r="J52" i="1"/>
  <c r="I52" i="1"/>
  <c r="H52" i="1"/>
  <c r="F52" i="1"/>
  <c r="E52" i="1"/>
  <c r="O51" i="1"/>
  <c r="N51" i="1"/>
  <c r="J51" i="1"/>
  <c r="H51" i="1"/>
  <c r="F51" i="1"/>
  <c r="O50" i="1"/>
  <c r="Q50" i="1" s="1"/>
  <c r="J50" i="1"/>
  <c r="I50" i="1"/>
  <c r="F50" i="1"/>
  <c r="E50" i="1"/>
  <c r="H50" i="1" s="1"/>
  <c r="P49" i="1"/>
  <c r="O49" i="1"/>
  <c r="Q49" i="1" s="1"/>
  <c r="N49" i="1"/>
  <c r="J49" i="1"/>
  <c r="H49" i="1"/>
  <c r="F49" i="1"/>
  <c r="O48" i="1"/>
  <c r="Q48" i="1" s="1"/>
  <c r="J48" i="1"/>
  <c r="I48" i="1"/>
  <c r="F48" i="1"/>
  <c r="E48" i="1"/>
  <c r="H48" i="1" s="1"/>
  <c r="O47" i="1"/>
  <c r="Q47" i="1" s="1"/>
  <c r="J47" i="1"/>
  <c r="H47" i="1"/>
  <c r="N47" i="1" s="1"/>
  <c r="P47" i="1" s="1"/>
  <c r="F47" i="1"/>
  <c r="O46" i="1"/>
  <c r="Q46" i="1" s="1"/>
  <c r="J46" i="1"/>
  <c r="I46" i="1"/>
  <c r="F46" i="1"/>
  <c r="E46" i="1"/>
  <c r="H46" i="1" s="1"/>
  <c r="N46" i="1" s="1"/>
  <c r="P46" i="1" s="1"/>
  <c r="O45" i="1"/>
  <c r="Q45" i="1" s="1"/>
  <c r="L45" i="1"/>
  <c r="K45" i="1"/>
  <c r="J45" i="1"/>
  <c r="H45" i="1"/>
  <c r="G45" i="1"/>
  <c r="F45" i="1"/>
  <c r="N45" i="1" s="1"/>
  <c r="P45" i="1" s="1"/>
  <c r="O44" i="1"/>
  <c r="Q44" i="1" s="1"/>
  <c r="L44" i="1"/>
  <c r="K44" i="1"/>
  <c r="J44" i="1"/>
  <c r="H44" i="1"/>
  <c r="G44" i="1"/>
  <c r="F44" i="1"/>
  <c r="N44" i="1" s="1"/>
  <c r="P44" i="1" s="1"/>
  <c r="Q43" i="1"/>
  <c r="O43" i="1"/>
  <c r="N43" i="1"/>
  <c r="P43" i="1" s="1"/>
  <c r="J43" i="1"/>
  <c r="I43" i="1"/>
  <c r="H43" i="1"/>
  <c r="F43" i="1"/>
  <c r="E43" i="1"/>
  <c r="O42" i="1"/>
  <c r="Q42" i="1" s="1"/>
  <c r="J42" i="1"/>
  <c r="I42" i="1"/>
  <c r="F42" i="1"/>
  <c r="E42" i="1"/>
  <c r="H42" i="1" s="1"/>
  <c r="Q41" i="1"/>
  <c r="O41" i="1"/>
  <c r="J41" i="1"/>
  <c r="I41" i="1"/>
  <c r="H41" i="1"/>
  <c r="F41" i="1"/>
  <c r="N41" i="1" s="1"/>
  <c r="P41" i="1" s="1"/>
  <c r="E41" i="1"/>
  <c r="Q40" i="1"/>
  <c r="O40" i="1"/>
  <c r="N40" i="1"/>
  <c r="P40" i="1" s="1"/>
  <c r="J40" i="1"/>
  <c r="I40" i="1"/>
  <c r="H40" i="1"/>
  <c r="F40" i="1"/>
  <c r="E40" i="1"/>
  <c r="O39" i="1"/>
  <c r="Q39" i="1" s="1"/>
  <c r="J39" i="1"/>
  <c r="H39" i="1"/>
  <c r="N39" i="1" s="1"/>
  <c r="P39" i="1" s="1"/>
  <c r="F39" i="1"/>
  <c r="Q38" i="1"/>
  <c r="O38" i="1"/>
  <c r="N38" i="1"/>
  <c r="P38" i="1" s="1"/>
  <c r="J38" i="1"/>
  <c r="I38" i="1"/>
  <c r="H38" i="1"/>
  <c r="F38" i="1"/>
  <c r="E38" i="1"/>
  <c r="O37" i="1"/>
  <c r="Q37" i="1" s="1"/>
  <c r="J37" i="1"/>
  <c r="I37" i="1"/>
  <c r="F37" i="1"/>
  <c r="E37" i="1"/>
  <c r="H37" i="1" s="1"/>
  <c r="O36" i="1"/>
  <c r="Q36" i="1" s="1"/>
  <c r="J36" i="1"/>
  <c r="I36" i="1"/>
  <c r="F36" i="1"/>
  <c r="E36" i="1"/>
  <c r="H36" i="1" s="1"/>
  <c r="Q35" i="1"/>
  <c r="O35" i="1"/>
  <c r="N35" i="1"/>
  <c r="P35" i="1" s="1"/>
  <c r="J35" i="1"/>
  <c r="I35" i="1"/>
  <c r="H35" i="1"/>
  <c r="F35" i="1"/>
  <c r="E35" i="1"/>
  <c r="O34" i="1"/>
  <c r="Q34" i="1" s="1"/>
  <c r="J34" i="1"/>
  <c r="H34" i="1"/>
  <c r="N34" i="1" s="1"/>
  <c r="P34" i="1" s="1"/>
  <c r="F34" i="1"/>
  <c r="Q33" i="1"/>
  <c r="O33" i="1"/>
  <c r="N33" i="1"/>
  <c r="P33" i="1" s="1"/>
  <c r="J33" i="1"/>
  <c r="I33" i="1"/>
  <c r="H33" i="1"/>
  <c r="F33" i="1"/>
  <c r="E33" i="1"/>
  <c r="O32" i="1"/>
  <c r="Q32" i="1" s="1"/>
  <c r="J32" i="1"/>
  <c r="I32" i="1"/>
  <c r="F32" i="1"/>
  <c r="E32" i="1"/>
  <c r="H32" i="1" s="1"/>
  <c r="O31" i="1"/>
  <c r="Q31" i="1" s="1"/>
  <c r="K31" i="1"/>
  <c r="J31" i="1"/>
  <c r="I31" i="1"/>
  <c r="H31" i="1"/>
  <c r="G31" i="1"/>
  <c r="F31" i="1"/>
  <c r="N31" i="1" s="1"/>
  <c r="P31" i="1" s="1"/>
  <c r="O30" i="1"/>
  <c r="Q30" i="1" s="1"/>
  <c r="J30" i="1"/>
  <c r="I30" i="1"/>
  <c r="H30" i="1"/>
  <c r="F30" i="1"/>
  <c r="N30" i="1" s="1"/>
  <c r="P30" i="1" s="1"/>
  <c r="O29" i="1"/>
  <c r="Q29" i="1" s="1"/>
  <c r="J29" i="1"/>
  <c r="I29" i="1"/>
  <c r="F29" i="1"/>
  <c r="E29" i="1"/>
  <c r="H29" i="1" s="1"/>
  <c r="O28" i="1"/>
  <c r="Q28" i="1" s="1"/>
  <c r="J28" i="1"/>
  <c r="I28" i="1"/>
  <c r="H28" i="1"/>
  <c r="F28" i="1"/>
  <c r="N28" i="1" s="1"/>
  <c r="P28" i="1" s="1"/>
  <c r="Q27" i="1"/>
  <c r="O27" i="1"/>
  <c r="J27" i="1"/>
  <c r="I27" i="1"/>
  <c r="F27" i="1"/>
  <c r="N27" i="1" s="1"/>
  <c r="P27" i="1" s="1"/>
  <c r="O26" i="1"/>
  <c r="Q26" i="1" s="1"/>
  <c r="K26" i="1"/>
  <c r="J26" i="1"/>
  <c r="I26" i="1"/>
  <c r="H26" i="1"/>
  <c r="G26" i="1"/>
  <c r="F26" i="1"/>
  <c r="N26" i="1" s="1"/>
  <c r="P26" i="1" s="1"/>
  <c r="Q25" i="1"/>
  <c r="O25" i="1"/>
  <c r="K25" i="1"/>
  <c r="J25" i="1"/>
  <c r="I25" i="1"/>
  <c r="H25" i="1"/>
  <c r="G25" i="1"/>
  <c r="F25" i="1"/>
  <c r="N25" i="1" s="1"/>
  <c r="P25" i="1" s="1"/>
  <c r="Q24" i="1"/>
  <c r="O24" i="1"/>
  <c r="J24" i="1"/>
  <c r="I24" i="1"/>
  <c r="H24" i="1"/>
  <c r="F24" i="1"/>
  <c r="N24" i="1" s="1"/>
  <c r="P24" i="1" s="1"/>
  <c r="O23" i="1"/>
  <c r="Q23" i="1" s="1"/>
  <c r="J23" i="1"/>
  <c r="I23" i="1"/>
  <c r="F23" i="1"/>
  <c r="E23" i="1"/>
  <c r="H23" i="1" s="1"/>
  <c r="Q22" i="1"/>
  <c r="O22" i="1"/>
  <c r="N22" i="1"/>
  <c r="P22" i="1" s="1"/>
  <c r="J22" i="1"/>
  <c r="I22" i="1"/>
  <c r="H22" i="1"/>
  <c r="F22" i="1"/>
  <c r="E22" i="1"/>
  <c r="O21" i="1"/>
  <c r="Q21" i="1" s="1"/>
  <c r="J21" i="1"/>
  <c r="I21" i="1"/>
  <c r="F21" i="1"/>
  <c r="E21" i="1"/>
  <c r="H21" i="1" s="1"/>
  <c r="O20" i="1"/>
  <c r="Q20" i="1" s="1"/>
  <c r="J20" i="1"/>
  <c r="H20" i="1"/>
  <c r="G20" i="1"/>
  <c r="F20" i="1"/>
  <c r="N20" i="1" s="1"/>
  <c r="P20" i="1" s="1"/>
  <c r="Q19" i="1"/>
  <c r="O19" i="1"/>
  <c r="J19" i="1"/>
  <c r="H19" i="1"/>
  <c r="G19" i="1"/>
  <c r="F19" i="1"/>
  <c r="N19" i="1" s="1"/>
  <c r="P19" i="1" s="1"/>
  <c r="P18" i="1"/>
  <c r="O18" i="1"/>
  <c r="Q18" i="1" s="1"/>
  <c r="N18" i="1"/>
  <c r="J18" i="1"/>
  <c r="H18" i="1"/>
  <c r="F18" i="1"/>
  <c r="O17" i="1"/>
  <c r="Q17" i="1" s="1"/>
  <c r="J17" i="1"/>
  <c r="H17" i="1"/>
  <c r="G17" i="1"/>
  <c r="F17" i="1"/>
  <c r="N17" i="1" s="1"/>
  <c r="P17" i="1" s="1"/>
  <c r="O16" i="1"/>
  <c r="Q16" i="1" s="1"/>
  <c r="J16" i="1"/>
  <c r="I16" i="1"/>
  <c r="F16" i="1"/>
  <c r="E16" i="1"/>
  <c r="H16" i="1" s="1"/>
  <c r="N16" i="1" s="1"/>
  <c r="P16" i="1" s="1"/>
  <c r="Q15" i="1"/>
  <c r="O15" i="1"/>
  <c r="J15" i="1"/>
  <c r="I15" i="1"/>
  <c r="H15" i="1"/>
  <c r="F15" i="1"/>
  <c r="N15" i="1" s="1"/>
  <c r="P15" i="1" s="1"/>
  <c r="E15" i="1"/>
  <c r="Q14" i="1"/>
  <c r="O14" i="1"/>
  <c r="J14" i="1"/>
  <c r="I14" i="1"/>
  <c r="H14" i="1"/>
  <c r="N14" i="1" s="1"/>
  <c r="P14" i="1" s="1"/>
  <c r="F14" i="1"/>
  <c r="E14" i="1"/>
  <c r="O13" i="1"/>
  <c r="Q13" i="1" s="1"/>
  <c r="J13" i="1"/>
  <c r="H13" i="1"/>
  <c r="F13" i="1"/>
  <c r="N13" i="1" s="1"/>
  <c r="P13" i="1" s="1"/>
  <c r="Q12" i="1"/>
  <c r="O12" i="1"/>
  <c r="J12" i="1"/>
  <c r="I12" i="1"/>
  <c r="H12" i="1"/>
  <c r="N12" i="1" s="1"/>
  <c r="P12" i="1" s="1"/>
  <c r="F12" i="1"/>
  <c r="E12" i="1"/>
  <c r="O11" i="1"/>
  <c r="Q11" i="1" s="1"/>
  <c r="J11" i="1"/>
  <c r="I11" i="1"/>
  <c r="F11" i="1"/>
  <c r="E11" i="1"/>
  <c r="H11" i="1" s="1"/>
  <c r="N11" i="1" s="1"/>
  <c r="P11" i="1" s="1"/>
  <c r="Q10" i="1"/>
  <c r="O10" i="1"/>
  <c r="J10" i="1"/>
  <c r="I10" i="1"/>
  <c r="H10" i="1"/>
  <c r="F10" i="1"/>
  <c r="N10" i="1" s="1"/>
  <c r="P10" i="1" s="1"/>
  <c r="E10" i="1"/>
  <c r="Q9" i="1"/>
  <c r="O9" i="1"/>
  <c r="J9" i="1"/>
  <c r="I9" i="1"/>
  <c r="H9" i="1"/>
  <c r="N9" i="1" s="1"/>
  <c r="P9" i="1" s="1"/>
  <c r="F9" i="1"/>
  <c r="E9" i="1"/>
  <c r="O8" i="1"/>
  <c r="Q8" i="1" s="1"/>
  <c r="J8" i="1"/>
  <c r="I8" i="1"/>
  <c r="F8" i="1"/>
  <c r="E8" i="1"/>
  <c r="H8" i="1" s="1"/>
  <c r="N8" i="1" s="1"/>
  <c r="P8" i="1" s="1"/>
  <c r="Q7" i="1"/>
  <c r="O7" i="1"/>
  <c r="J7" i="1"/>
  <c r="I7" i="1"/>
  <c r="H7" i="1"/>
  <c r="F7" i="1"/>
  <c r="N7" i="1" s="1"/>
  <c r="P7" i="1" s="1"/>
  <c r="E7" i="1"/>
  <c r="N53" i="1" l="1"/>
  <c r="N54" i="1"/>
  <c r="N23" i="1"/>
  <c r="P23" i="1" s="1"/>
  <c r="N29" i="1"/>
  <c r="P29" i="1" s="1"/>
  <c r="N36" i="1"/>
  <c r="P36" i="1" s="1"/>
  <c r="N37" i="1"/>
  <c r="P37" i="1" s="1"/>
  <c r="N56" i="1"/>
  <c r="N58" i="1"/>
  <c r="N68" i="1"/>
  <c r="N32" i="1"/>
  <c r="P32" i="1" s="1"/>
  <c r="N42" i="1"/>
  <c r="P42" i="1" s="1"/>
  <c r="N48" i="1"/>
  <c r="P48" i="1" s="1"/>
  <c r="N72" i="1"/>
  <c r="N21" i="1"/>
  <c r="P21" i="1" s="1"/>
  <c r="N50" i="1"/>
  <c r="P50" i="1" s="1"/>
  <c r="N61" i="1"/>
  <c r="N65" i="1"/>
  <c r="N75" i="1"/>
  <c r="N82" i="1"/>
</calcChain>
</file>

<file path=xl/comments1.xml><?xml version="1.0" encoding="utf-8"?>
<comments xmlns="http://schemas.openxmlformats.org/spreadsheetml/2006/main">
  <authors>
    <author>ttec</author>
    <author>nom</author>
  </authors>
  <commentList>
    <comment ref="C6" authorId="0" shapeId="0">
      <text>
        <r>
          <rPr>
            <b/>
            <sz val="8"/>
            <color indexed="81"/>
            <rFont val="Tahoma"/>
            <family val="2"/>
          </rPr>
          <t>diámetro  normal medido a 1,3 m de altura</t>
        </r>
      </text>
    </comment>
    <comment ref="D6" authorId="0" shapeId="0">
      <text>
        <r>
          <rPr>
            <b/>
            <sz val="8"/>
            <color indexed="81"/>
            <rFont val="Tahoma"/>
            <family val="2"/>
          </rPr>
          <t>altura total</t>
        </r>
      </text>
    </comment>
    <comment ref="F6" authorId="0" shapeId="0">
      <text>
        <r>
          <rPr>
            <b/>
            <sz val="8"/>
            <color indexed="81"/>
            <rFont val="Tahoma"/>
            <family val="2"/>
          </rPr>
          <t>biomasa del fuste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6" authorId="0" shapeId="0">
      <text>
        <r>
          <rPr>
            <b/>
            <sz val="8"/>
            <color indexed="81"/>
            <rFont val="Tahoma"/>
            <family val="2"/>
          </rPr>
          <t>biomasa de la corteza del fuste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6" authorId="0" shapeId="0">
      <text>
        <r>
          <rPr>
            <b/>
            <sz val="8"/>
            <color indexed="81"/>
            <rFont val="Tahoma"/>
            <family val="2"/>
          </rPr>
          <t>biomasa de ramas mayores de 7 cm de diámetro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6" authorId="0" shapeId="0">
      <text>
        <r>
          <rPr>
            <b/>
            <sz val="8"/>
            <color indexed="81"/>
            <rFont val="Tahoma"/>
            <family val="2"/>
          </rPr>
          <t>biomasa de ramas entre 2 y 7 cm de diámetro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6" authorId="0" shapeId="0">
      <text>
        <r>
          <rPr>
            <b/>
            <sz val="8"/>
            <color indexed="81"/>
            <rFont val="Tahoma"/>
            <family val="2"/>
          </rPr>
          <t>biomasa de ramas entre 0,5 y 2 cm de diámetro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6" authorId="1" shapeId="0">
      <text>
        <r>
          <rPr>
            <b/>
            <sz val="8"/>
            <color indexed="81"/>
            <rFont val="Tahoma"/>
            <family val="2"/>
          </rPr>
          <t xml:space="preserve">biomasa de ramas menores de 0,5 cm de diámetro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6" authorId="0" shapeId="0">
      <text>
        <r>
          <rPr>
            <b/>
            <sz val="8"/>
            <color indexed="81"/>
            <rFont val="Tahoma"/>
            <family val="2"/>
          </rPr>
          <t>biomasa de hojas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M6" authorId="1" shapeId="0">
      <text>
        <r>
          <rPr>
            <b/>
            <sz val="8"/>
            <color indexed="81"/>
            <rFont val="Tahoma"/>
            <family val="2"/>
          </rPr>
          <t>biomasa de ramas muertas</t>
        </r>
      </text>
    </comment>
    <comment ref="N6" authorId="0" shapeId="0">
      <text>
        <r>
          <rPr>
            <b/>
            <sz val="8"/>
            <color indexed="81"/>
            <rFont val="Tahoma"/>
            <family val="2"/>
          </rPr>
          <t>biomasa total aérea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O6" authorId="0" shapeId="0">
      <text>
        <r>
          <rPr>
            <b/>
            <sz val="8"/>
            <color indexed="81"/>
            <rFont val="Tahoma"/>
            <family val="2"/>
          </rPr>
          <t>biomasa de raíces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P6" authorId="0" shapeId="0">
      <text>
        <r>
          <rPr>
            <b/>
            <sz val="8"/>
            <color indexed="81"/>
            <rFont val="Tahoma"/>
            <family val="2"/>
          </rPr>
          <t>fijación de carbono aéreo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Q6" authorId="0" shapeId="0">
      <text>
        <r>
          <rPr>
            <b/>
            <sz val="8"/>
            <color indexed="81"/>
            <rFont val="Tahoma"/>
            <family val="2"/>
          </rPr>
          <t>fijación de carbono radical</t>
        </r>
        <r>
          <rPr>
            <sz val="10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<sst xmlns="http://schemas.openxmlformats.org/spreadsheetml/2006/main" count="176" uniqueCount="176">
  <si>
    <t>409. ECUACIONES DE BIOMASA ARBÓREA Y FIJACIÓN DE CARBONO POR ESPECIE</t>
  </si>
  <si>
    <t>CÓD ESPECIE</t>
  </si>
  <si>
    <t>ESPECIE</t>
  </si>
  <si>
    <t>d (cm)</t>
  </si>
  <si>
    <t>h (m)</t>
  </si>
  <si>
    <t>Z</t>
  </si>
  <si>
    <r>
      <t>W</t>
    </r>
    <r>
      <rPr>
        <b/>
        <vertAlign val="subscript"/>
        <sz val="10"/>
        <rFont val="Arial"/>
        <family val="2"/>
      </rPr>
      <t>s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</si>
  <si>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c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</si>
  <si>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b7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</si>
  <si>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b2-7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</si>
  <si>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b0,5-2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</si>
  <si>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t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</si>
  <si>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 xml:space="preserve">h </t>
    </r>
    <r>
      <rPr>
        <b/>
        <sz val="10"/>
        <rFont val="Arial"/>
        <family val="2"/>
      </rPr>
      <t>(Kg)</t>
    </r>
  </si>
  <si>
    <r>
      <t>W</t>
    </r>
    <r>
      <rPr>
        <b/>
        <vertAlign val="subscript"/>
        <sz val="10"/>
        <rFont val="Arial"/>
        <family val="2"/>
      </rPr>
      <t xml:space="preserve">db </t>
    </r>
    <r>
      <rPr>
        <b/>
        <sz val="10"/>
        <rFont val="Arial"/>
        <family val="2"/>
      </rPr>
      <t>(Kg)</t>
    </r>
  </si>
  <si>
    <t>Wtotal aérea (Kg)</t>
  </si>
  <si>
    <r>
      <t>W</t>
    </r>
    <r>
      <rPr>
        <b/>
        <vertAlign val="subscript"/>
        <sz val="10"/>
        <rFont val="Arial"/>
        <family val="2"/>
      </rPr>
      <t>r</t>
    </r>
    <r>
      <rPr>
        <b/>
        <sz val="10"/>
        <rFont val="Arial"/>
        <family val="2"/>
      </rPr>
      <t xml:space="preserve"> (Kg)</t>
    </r>
  </si>
  <si>
    <t>C aéreo (Kg)</t>
  </si>
  <si>
    <t>C radical (Kg)</t>
  </si>
  <si>
    <t>008</t>
  </si>
  <si>
    <t>011</t>
  </si>
  <si>
    <t>012</t>
  </si>
  <si>
    <t>014</t>
  </si>
  <si>
    <t>016</t>
  </si>
  <si>
    <t>021</t>
  </si>
  <si>
    <t>022</t>
  </si>
  <si>
    <t>023</t>
  </si>
  <si>
    <t>024</t>
  </si>
  <si>
    <t>025</t>
  </si>
  <si>
    <t>028</t>
  </si>
  <si>
    <t>033</t>
  </si>
  <si>
    <t>034</t>
  </si>
  <si>
    <t>035</t>
  </si>
  <si>
    <t>037</t>
  </si>
  <si>
    <t>038</t>
  </si>
  <si>
    <t>039</t>
  </si>
  <si>
    <t>040</t>
  </si>
  <si>
    <t>041</t>
  </si>
  <si>
    <t>042</t>
  </si>
  <si>
    <t>043</t>
  </si>
  <si>
    <t>044</t>
  </si>
  <si>
    <t>045</t>
  </si>
  <si>
    <t>046</t>
  </si>
  <si>
    <t>048</t>
  </si>
  <si>
    <t>051</t>
  </si>
  <si>
    <t>052</t>
  </si>
  <si>
    <t>054</t>
  </si>
  <si>
    <t>055</t>
  </si>
  <si>
    <t>056</t>
  </si>
  <si>
    <t>057</t>
  </si>
  <si>
    <t>058</t>
  </si>
  <si>
    <t>059</t>
  </si>
  <si>
    <t>065</t>
  </si>
  <si>
    <t>068</t>
  </si>
  <si>
    <t>071</t>
  </si>
  <si>
    <t>072</t>
  </si>
  <si>
    <t>073</t>
  </si>
  <si>
    <t>074</t>
  </si>
  <si>
    <t>075</t>
  </si>
  <si>
    <t>076</t>
  </si>
  <si>
    <t>077</t>
  </si>
  <si>
    <t>078</t>
  </si>
  <si>
    <t>092</t>
  </si>
  <si>
    <t>094</t>
  </si>
  <si>
    <t>095</t>
  </si>
  <si>
    <t>097</t>
  </si>
  <si>
    <t>099</t>
  </si>
  <si>
    <t>215</t>
  </si>
  <si>
    <t>237</t>
  </si>
  <si>
    <t>243</t>
  </si>
  <si>
    <t>255</t>
  </si>
  <si>
    <t>256</t>
  </si>
  <si>
    <t>257</t>
  </si>
  <si>
    <t>258</t>
  </si>
  <si>
    <t>273</t>
  </si>
  <si>
    <t>276</t>
  </si>
  <si>
    <t>278</t>
  </si>
  <si>
    <t>307</t>
  </si>
  <si>
    <t>357</t>
  </si>
  <si>
    <t>373</t>
  </si>
  <si>
    <t>377</t>
  </si>
  <si>
    <t>378</t>
  </si>
  <si>
    <t>395</t>
  </si>
  <si>
    <t>436</t>
  </si>
  <si>
    <t>455</t>
  </si>
  <si>
    <t>476</t>
  </si>
  <si>
    <t>478</t>
  </si>
  <si>
    <t>495</t>
  </si>
  <si>
    <t>576</t>
  </si>
  <si>
    <t>578</t>
  </si>
  <si>
    <t>657</t>
  </si>
  <si>
    <t>676</t>
  </si>
  <si>
    <t>757</t>
  </si>
  <si>
    <t>776</t>
  </si>
  <si>
    <t>857</t>
  </si>
  <si>
    <t>957</t>
  </si>
  <si>
    <t>Para el cálculo de la biomasa arbórea y la fijación del carbono (kg) se deben introducir en la siguiente tabla los distintos diámetros (cm) y alturas (m) de las especies presentes en la provincia.</t>
  </si>
  <si>
    <t>Phillyrea latifolia</t>
  </si>
  <si>
    <t>Ailanthus altissima</t>
  </si>
  <si>
    <t>Malus sylvestris</t>
  </si>
  <si>
    <t>Taxus baccata</t>
  </si>
  <si>
    <t>Pyrus spp.</t>
  </si>
  <si>
    <t>Pinus sylvestris</t>
  </si>
  <si>
    <t>Pinus uncinata</t>
  </si>
  <si>
    <t>Pinus pinea</t>
  </si>
  <si>
    <t>Pinus halepensis</t>
  </si>
  <si>
    <t>Pinus nigra</t>
  </si>
  <si>
    <t>Pinus radiata</t>
  </si>
  <si>
    <t>Picea abies</t>
  </si>
  <si>
    <t>Pseudotsuga menziesii</t>
  </si>
  <si>
    <t>Larix spp.</t>
  </si>
  <si>
    <t>Juniperus communis</t>
  </si>
  <si>
    <t>Juniperus thurifera</t>
  </si>
  <si>
    <t>Juniperus phoenicea</t>
  </si>
  <si>
    <t>Quercus</t>
  </si>
  <si>
    <t>Quercus robur</t>
  </si>
  <si>
    <t>Quercus petraea</t>
  </si>
  <si>
    <t>Quercus pyrenaica</t>
  </si>
  <si>
    <t>Quercus faginea</t>
  </si>
  <si>
    <t>Quercus ilex ssp. ballota</t>
  </si>
  <si>
    <t>Quercus suber</t>
  </si>
  <si>
    <t>Quercus rubra</t>
  </si>
  <si>
    <t>Populus alba</t>
  </si>
  <si>
    <t>Populus tremula</t>
  </si>
  <si>
    <t>Alnus glutinosa</t>
  </si>
  <si>
    <t>Fraxinus angustifolia</t>
  </si>
  <si>
    <t>Ulmus minor</t>
  </si>
  <si>
    <t>Salix spp.</t>
  </si>
  <si>
    <t>Populus nigra</t>
  </si>
  <si>
    <t>Otros árboles ripícolas</t>
  </si>
  <si>
    <t>Ilex aquifolium</t>
  </si>
  <si>
    <t xml:space="preserve">Arbutus unedo </t>
  </si>
  <si>
    <t>Fagus sylvatica</t>
  </si>
  <si>
    <t>Castanea sativa</t>
  </si>
  <si>
    <t>Betula spp.</t>
  </si>
  <si>
    <t>Corylus avellana</t>
  </si>
  <si>
    <t>Juglans regia</t>
  </si>
  <si>
    <t>Acer campestre</t>
  </si>
  <si>
    <t>Tilia spp.</t>
  </si>
  <si>
    <t>Sorbus spp.</t>
  </si>
  <si>
    <t>Robinia pseudoacacia</t>
  </si>
  <si>
    <t>Laurus nobilis</t>
  </si>
  <si>
    <t>Prunus spp.</t>
  </si>
  <si>
    <t>Sambucus nigra</t>
  </si>
  <si>
    <t>Otras frondosas</t>
  </si>
  <si>
    <t>Crataegus monogyna</t>
  </si>
  <si>
    <t>Juniperus oxycedrus</t>
  </si>
  <si>
    <t>Quercus pubescens (Q. humilis)</t>
  </si>
  <si>
    <t>Fraxinus excelsior</t>
  </si>
  <si>
    <t>Ulmus glabra</t>
  </si>
  <si>
    <t>Salix alba</t>
  </si>
  <si>
    <t>Populus x canadensis</t>
  </si>
  <si>
    <t>Betula alba</t>
  </si>
  <si>
    <t>Acer monspessulanum</t>
  </si>
  <si>
    <t>Sorbus aria</t>
  </si>
  <si>
    <t>Acacia dealbata</t>
  </si>
  <si>
    <t>Salix atrocinerea</t>
  </si>
  <si>
    <t>Betula pendula</t>
  </si>
  <si>
    <t>Tilia platyphyllos</t>
  </si>
  <si>
    <t>Sorbus aucuparia</t>
  </si>
  <si>
    <t>Prunus avium</t>
  </si>
  <si>
    <t>Cupressus macrocarpa</t>
  </si>
  <si>
    <t>Fraxinus spp.</t>
  </si>
  <si>
    <t>Acer opalus</t>
  </si>
  <si>
    <t>Sorbus domestica</t>
  </si>
  <si>
    <t>Prunus lusitanica</t>
  </si>
  <si>
    <t>Acer pseudoplatanus</t>
  </si>
  <si>
    <t>Sorbus torminalis</t>
  </si>
  <si>
    <t>Pinus pinaster sin resinar</t>
  </si>
  <si>
    <t>Salix caprea</t>
  </si>
  <si>
    <t>Acer platanoides</t>
  </si>
  <si>
    <t>Pinus pinaster resinado</t>
  </si>
  <si>
    <t>Salix elaeagnos</t>
  </si>
  <si>
    <t xml:space="preserve">Acer spp. </t>
  </si>
  <si>
    <t>Pinus pinaster anteriormente resinado</t>
  </si>
  <si>
    <t>Salix fragilis</t>
  </si>
  <si>
    <t>Salix purpurea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</si>
</sst>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0"/>
    <numFmt numFmtId="165" formatCode="0.0"/>
  </numFmts>
  <fonts count="10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vertAlign val="subscript"/>
      <sz val="10"/>
      <name val="Arial"/>
      <family val="2"/>
    </font>
    <font>
      <sz val="10"/>
      <color indexed="8"/>
      <name val="MS Sans Serif"/>
      <family val="2"/>
    </font>
    <font>
      <sz val="10"/>
      <color indexed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0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5" fillId="0" borderId="0"/>
    <xf numFmtId="0" fontId="2" fillId="0" borderId="0"/>
    <xf numFmtId="0" fontId="2" fillId="0" borderId="0"/>
    <xf numFmtId="0" fontId="1" fillId="0" borderId="0"/>
  </cellStyleXfs>
  <cellXfs count="19">
    <xf numFmtId="0" fontId="0" fillId="0" borderId="0" xfId="0"/>
    <xf numFmtId="164" fontId="3" fillId="0" borderId="0" xfId="0" applyNumberFormat="1" applyFont="1" applyFill="1" applyBorder="1" applyProtection="1"/>
    <xf numFmtId="0" fontId="0" fillId="0" borderId="0" xfId="0" applyProtection="1"/>
    <xf numFmtId="4" fontId="0" fillId="0" borderId="0" xfId="0" applyNumberFormat="1" applyProtection="1"/>
    <xf numFmtId="0" fontId="3" fillId="0" borderId="0" xfId="0" applyFont="1" applyFill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center" vertical="center"/>
      <protection locked="0"/>
    </xf>
    <xf numFmtId="0" fontId="3" fillId="3" borderId="0" xfId="0" applyFont="1" applyFill="1" applyBorder="1" applyAlignment="1" applyProtection="1">
      <alignment horizontal="center" vertical="center"/>
    </xf>
    <xf numFmtId="4" fontId="3" fillId="3" borderId="0" xfId="0" applyNumberFormat="1" applyFont="1" applyFill="1" applyBorder="1" applyAlignment="1" applyProtection="1">
      <alignment horizontal="center" vertical="center"/>
    </xf>
    <xf numFmtId="4" fontId="3" fillId="4" borderId="0" xfId="0" applyNumberFormat="1" applyFont="1" applyFill="1" applyBorder="1" applyAlignment="1" applyProtection="1">
      <alignment horizontal="center" vertic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/>
    <xf numFmtId="0" fontId="0" fillId="0" borderId="0" xfId="0" applyFill="1" applyBorder="1"/>
    <xf numFmtId="4" fontId="0" fillId="0" borderId="0" xfId="0" applyNumberFormat="1" applyFill="1" applyBorder="1"/>
    <xf numFmtId="0" fontId="6" fillId="0" borderId="1" xfId="1" applyFont="1" applyFill="1" applyBorder="1" applyAlignment="1">
      <alignment horizontal="center" vertical="center" wrapText="1"/>
    </xf>
    <xf numFmtId="0" fontId="0" fillId="0" borderId="0" xfId="0" applyFill="1" applyBorder="1" applyAlignment="1" applyProtection="1">
      <alignment horizontal="center"/>
    </xf>
    <xf numFmtId="4" fontId="0" fillId="0" borderId="0" xfId="0" applyNumberFormat="1" applyFill="1" applyBorder="1" applyProtection="1"/>
    <xf numFmtId="165" fontId="0" fillId="0" borderId="0" xfId="0" applyNumberFormat="1"/>
    <xf numFmtId="164" fontId="0" fillId="0" borderId="0" xfId="0" applyNumberFormat="1" applyFont="1" applyFill="1" applyBorder="1" applyProtection="1"/>
  </cellXfs>
  <cellStyles count="5">
    <cellStyle name="Normal" xfId="0" builtinId="0"/>
    <cellStyle name="Normal 2" xfId="2"/>
    <cellStyle name="Normal 2 2" xfId="3"/>
    <cellStyle name="Normal 3" xfId="4"/>
    <cellStyle name="Normal_ESPECIES ARBÓREA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86"/>
  <sheetViews>
    <sheetView tabSelected="1" workbookViewId="0"/>
  </sheetViews>
  <sheetFormatPr baseColWidth="10" defaultRowHeight="12.75" x14ac:dyDescent="0.2"/>
  <cols>
    <col min="1" max="2" width="11.42578125" style="2"/>
    <col min="5" max="5" width="11.42578125" style="2"/>
    <col min="6" max="17" width="11.42578125" style="3"/>
  </cols>
  <sheetData>
    <row r="1" spans="1:17" x14ac:dyDescent="0.2">
      <c r="A1" s="1" t="s">
        <v>0</v>
      </c>
    </row>
    <row r="3" spans="1:17" x14ac:dyDescent="0.2">
      <c r="A3" s="18" t="s">
        <v>95</v>
      </c>
    </row>
    <row r="6" spans="1:17" ht="14.25" x14ac:dyDescent="0.2">
      <c r="A6" s="4" t="s">
        <v>1</v>
      </c>
      <c r="B6" s="5" t="s">
        <v>2</v>
      </c>
      <c r="C6" s="6" t="s">
        <v>3</v>
      </c>
      <c r="D6" s="6" t="s">
        <v>4</v>
      </c>
      <c r="E6" s="7" t="s">
        <v>5</v>
      </c>
      <c r="F6" s="8" t="s">
        <v>6</v>
      </c>
      <c r="G6" s="8" t="s">
        <v>7</v>
      </c>
      <c r="H6" s="8" t="s">
        <v>8</v>
      </c>
      <c r="I6" s="8" t="s">
        <v>9</v>
      </c>
      <c r="J6" s="8" t="s">
        <v>10</v>
      </c>
      <c r="K6" s="8" t="s">
        <v>11</v>
      </c>
      <c r="L6" s="8" t="s">
        <v>12</v>
      </c>
      <c r="M6" s="8" t="s">
        <v>13</v>
      </c>
      <c r="N6" s="9" t="s">
        <v>14</v>
      </c>
      <c r="O6" s="9" t="s">
        <v>15</v>
      </c>
      <c r="P6" s="9" t="s">
        <v>16</v>
      </c>
      <c r="Q6" s="9" t="s">
        <v>17</v>
      </c>
    </row>
    <row r="7" spans="1:17" x14ac:dyDescent="0.2">
      <c r="A7" s="10" t="s">
        <v>18</v>
      </c>
      <c r="B7" s="11" t="s">
        <v>96</v>
      </c>
      <c r="C7" s="12">
        <v>40</v>
      </c>
      <c r="D7" s="12">
        <v>10</v>
      </c>
      <c r="E7" s="12">
        <f>IF(C7&gt;12.5,1,0)</f>
        <v>1</v>
      </c>
      <c r="F7" s="13">
        <f>0.143*POWER(C7,2)</f>
        <v>228.79999999999998</v>
      </c>
      <c r="G7" s="13"/>
      <c r="H7" s="13">
        <f>(0.0684*POWER((C7-12.5),2)*D7)*E7</f>
        <v>517.27499999999998</v>
      </c>
      <c r="I7" s="13">
        <f>0.0898*POWER(C7,2)</f>
        <v>143.68</v>
      </c>
      <c r="J7" s="13">
        <f>0.0823*POWER(C7,2)</f>
        <v>131.68</v>
      </c>
      <c r="K7" s="13"/>
      <c r="L7" s="13"/>
      <c r="M7" s="13"/>
      <c r="N7" s="13">
        <f t="shared" ref="N7:N12" si="0">F7+G7+H7+I7+J7+K7+L7</f>
        <v>1021.4349999999999</v>
      </c>
      <c r="O7" s="13">
        <f>0.254*POWER(C7,2)</f>
        <v>406.4</v>
      </c>
      <c r="P7" s="13">
        <f>N7/2</f>
        <v>510.71749999999997</v>
      </c>
      <c r="Q7" s="13">
        <f>O7/2</f>
        <v>203.2</v>
      </c>
    </row>
    <row r="8" spans="1:17" x14ac:dyDescent="0.2">
      <c r="A8" s="10" t="s">
        <v>19</v>
      </c>
      <c r="B8" s="11" t="s">
        <v>97</v>
      </c>
      <c r="C8" s="12">
        <v>40</v>
      </c>
      <c r="D8" s="12">
        <v>10</v>
      </c>
      <c r="E8" s="12">
        <f>IF(C8&gt;12.5,1,0)</f>
        <v>1</v>
      </c>
      <c r="F8" s="13">
        <f>0.0142*POWER(C8,2)*D8</f>
        <v>227.20000000000002</v>
      </c>
      <c r="G8" s="13"/>
      <c r="H8" s="13">
        <f>0.223*POWER((C8-12.5),2)*E8</f>
        <v>168.64375000000001</v>
      </c>
      <c r="I8" s="13">
        <f>0.23*C8*D8</f>
        <v>92.000000000000014</v>
      </c>
      <c r="J8" s="13">
        <f>0.221*C8*D8</f>
        <v>88.4</v>
      </c>
      <c r="K8" s="13"/>
      <c r="L8" s="13"/>
      <c r="M8" s="13"/>
      <c r="N8" s="13">
        <f t="shared" si="0"/>
        <v>576.24374999999998</v>
      </c>
      <c r="O8" s="13">
        <f>0.0211*POWER(C8,2.804)</f>
        <v>655.32791951357524</v>
      </c>
      <c r="P8" s="13">
        <f t="shared" ref="P8:Q49" si="1">N8/2</f>
        <v>288.12187499999999</v>
      </c>
      <c r="Q8" s="13">
        <f t="shared" si="1"/>
        <v>327.66395975678762</v>
      </c>
    </row>
    <row r="9" spans="1:17" x14ac:dyDescent="0.2">
      <c r="A9" s="10" t="s">
        <v>20</v>
      </c>
      <c r="B9" s="11" t="s">
        <v>98</v>
      </c>
      <c r="C9" s="12">
        <v>40</v>
      </c>
      <c r="D9" s="12">
        <v>10</v>
      </c>
      <c r="E9" s="12">
        <f>IF(C9&gt;12.5,1,0)</f>
        <v>1</v>
      </c>
      <c r="F9" s="13">
        <f>0.0296*POWER(C9,2)*D9</f>
        <v>473.6</v>
      </c>
      <c r="G9" s="13"/>
      <c r="H9" s="13">
        <f>0.231*POWER((C9-12.5),2)*E9</f>
        <v>174.69374999999999</v>
      </c>
      <c r="I9" s="13">
        <f>0.0925*POWER(C9,2)</f>
        <v>148</v>
      </c>
      <c r="J9" s="13">
        <f>2.005*C9</f>
        <v>80.199999999999989</v>
      </c>
      <c r="K9" s="13"/>
      <c r="L9" s="13"/>
      <c r="M9" s="13"/>
      <c r="N9" s="13">
        <f t="shared" si="0"/>
        <v>876.49375000000009</v>
      </c>
      <c r="O9" s="13">
        <f>0.359*POWER(C9,2)</f>
        <v>574.4</v>
      </c>
      <c r="P9" s="13">
        <f t="shared" si="1"/>
        <v>438.24687500000005</v>
      </c>
      <c r="Q9" s="13">
        <f t="shared" si="1"/>
        <v>287.2</v>
      </c>
    </row>
    <row r="10" spans="1:17" x14ac:dyDescent="0.2">
      <c r="A10" s="10" t="s">
        <v>21</v>
      </c>
      <c r="B10" s="11" t="s">
        <v>99</v>
      </c>
      <c r="C10" s="12">
        <v>40</v>
      </c>
      <c r="D10" s="12">
        <v>10</v>
      </c>
      <c r="E10" s="12">
        <f>IF(C10&gt;22.5,1,0)</f>
        <v>1</v>
      </c>
      <c r="F10" s="13">
        <f>0.0132*POWER(C10,2)*D10+0.217*C10*D10</f>
        <v>298</v>
      </c>
      <c r="G10" s="13"/>
      <c r="H10" s="13">
        <f>0.107*POWER((C10-22.5),2)*E10</f>
        <v>32.768749999999997</v>
      </c>
      <c r="I10" s="13">
        <f>0.00792*POWER(C10,2)*D10</f>
        <v>126.72</v>
      </c>
      <c r="J10" s="13">
        <f>0.273*C10*D10</f>
        <v>109.20000000000002</v>
      </c>
      <c r="K10" s="13"/>
      <c r="L10" s="13"/>
      <c r="M10" s="13"/>
      <c r="N10" s="13">
        <f t="shared" si="0"/>
        <v>566.68875000000003</v>
      </c>
      <c r="O10" s="13">
        <f>0.0767*POWER(C10,2)</f>
        <v>122.72000000000001</v>
      </c>
      <c r="P10" s="13">
        <f t="shared" si="1"/>
        <v>283.34437500000001</v>
      </c>
      <c r="Q10" s="13">
        <f t="shared" si="1"/>
        <v>61.360000000000007</v>
      </c>
    </row>
    <row r="11" spans="1:17" x14ac:dyDescent="0.2">
      <c r="A11" s="10" t="s">
        <v>22</v>
      </c>
      <c r="B11" s="11" t="s">
        <v>100</v>
      </c>
      <c r="C11" s="12">
        <v>40</v>
      </c>
      <c r="D11" s="12">
        <v>10</v>
      </c>
      <c r="E11" s="12">
        <f>IF(C11&gt;12.5,1,0)</f>
        <v>1</v>
      </c>
      <c r="F11" s="13">
        <f>0.0296*POWER(C11,2)*D11</f>
        <v>473.6</v>
      </c>
      <c r="G11" s="13"/>
      <c r="H11" s="13">
        <f>0.231*POWER((C11-12.5),2)*E11</f>
        <v>174.69374999999999</v>
      </c>
      <c r="I11" s="13">
        <f>0.0925*POWER(C11,2)</f>
        <v>148</v>
      </c>
      <c r="J11" s="13">
        <f>2.005*C11</f>
        <v>80.199999999999989</v>
      </c>
      <c r="K11" s="13"/>
      <c r="L11" s="13"/>
      <c r="M11" s="13"/>
      <c r="N11" s="13">
        <f t="shared" si="0"/>
        <v>876.49375000000009</v>
      </c>
      <c r="O11" s="13">
        <f>0.359*POWER(C11,2)</f>
        <v>574.4</v>
      </c>
      <c r="P11" s="13">
        <f t="shared" si="1"/>
        <v>438.24687500000005</v>
      </c>
      <c r="Q11" s="13">
        <f t="shared" si="1"/>
        <v>287.2</v>
      </c>
    </row>
    <row r="12" spans="1:17" x14ac:dyDescent="0.2">
      <c r="A12" s="10" t="s">
        <v>23</v>
      </c>
      <c r="B12" s="11" t="s">
        <v>101</v>
      </c>
      <c r="C12" s="12">
        <v>40</v>
      </c>
      <c r="D12" s="12">
        <v>10</v>
      </c>
      <c r="E12" s="12">
        <f>IF(C12&gt;37.5,1,0)</f>
        <v>1</v>
      </c>
      <c r="F12" s="13">
        <f>0.0154*POWER(C12,2)*D12</f>
        <v>246.4</v>
      </c>
      <c r="G12" s="13"/>
      <c r="H12" s="13">
        <f>(0.54*POWER((C12-37.5),2)-0.0119*POWER((C12-37.5),2)*D12)*E12</f>
        <v>2.6312499999999996</v>
      </c>
      <c r="I12" s="13">
        <f>0.0295*POWER(C12,2.742)*POWER(D12,-0.899)</f>
        <v>91.975151570470118</v>
      </c>
      <c r="J12" s="13">
        <f>0.53*POWER(C12,2.199)*POWER(D12,-1.153)</f>
        <v>124.22408042163688</v>
      </c>
      <c r="K12" s="13"/>
      <c r="L12" s="13"/>
      <c r="M12" s="13"/>
      <c r="N12" s="13">
        <f t="shared" si="0"/>
        <v>465.230481992107</v>
      </c>
      <c r="O12" s="13">
        <f>0.13*POWER(C12,2)</f>
        <v>208</v>
      </c>
      <c r="P12" s="13">
        <f t="shared" si="1"/>
        <v>232.6152409960535</v>
      </c>
      <c r="Q12" s="13">
        <f t="shared" si="1"/>
        <v>104</v>
      </c>
    </row>
    <row r="13" spans="1:17" x14ac:dyDescent="0.2">
      <c r="A13" s="10" t="s">
        <v>24</v>
      </c>
      <c r="B13" s="11" t="s">
        <v>102</v>
      </c>
      <c r="C13" s="12">
        <v>40</v>
      </c>
      <c r="D13" s="12">
        <v>10</v>
      </c>
      <c r="E13" s="12"/>
      <c r="F13" s="13">
        <f>0.0203*POWER(C13,2)*D13</f>
        <v>324.79999999999995</v>
      </c>
      <c r="G13" s="13"/>
      <c r="H13" s="13">
        <f>0.0379*POWER(C13,2)</f>
        <v>60.640000000000008</v>
      </c>
      <c r="I13" s="13"/>
      <c r="J13" s="13">
        <f>2.74*C13-2.64*D13</f>
        <v>83.2</v>
      </c>
      <c r="K13" s="13"/>
      <c r="L13" s="13"/>
      <c r="M13" s="13"/>
      <c r="N13" s="13">
        <f>F13+G13+H13+I13+J13+K13+L13</f>
        <v>468.63999999999993</v>
      </c>
      <c r="O13" s="13">
        <f>0.193*POWER(C13,2)</f>
        <v>308.8</v>
      </c>
      <c r="P13" s="13">
        <f t="shared" si="1"/>
        <v>234.31999999999996</v>
      </c>
      <c r="Q13" s="13">
        <f t="shared" si="1"/>
        <v>154.4</v>
      </c>
    </row>
    <row r="14" spans="1:17" x14ac:dyDescent="0.2">
      <c r="A14" s="10" t="s">
        <v>25</v>
      </c>
      <c r="B14" s="11" t="s">
        <v>103</v>
      </c>
      <c r="C14" s="12">
        <v>40</v>
      </c>
      <c r="D14" s="12">
        <v>10</v>
      </c>
      <c r="E14" s="12">
        <f>IF(C14&gt;22.5,1,0)</f>
        <v>1</v>
      </c>
      <c r="F14" s="13">
        <f>0.0224*POWER(C14,1.923)*POWER(D14,1.0193)</f>
        <v>282.03913994231584</v>
      </c>
      <c r="G14" s="13"/>
      <c r="H14" s="13">
        <f>0.247*POWER((C14-22.5),2)*E14</f>
        <v>75.643749999999997</v>
      </c>
      <c r="I14" s="13">
        <f>0.0525*POWER(C14,2)</f>
        <v>84</v>
      </c>
      <c r="J14" s="13">
        <f>21.927+0.0707*POWER(C14,2)-2.827*D14</f>
        <v>106.777</v>
      </c>
      <c r="K14" s="13"/>
      <c r="L14" s="13"/>
      <c r="M14" s="13"/>
      <c r="N14" s="13">
        <f t="shared" ref="N14:N77" si="2">F14+G14+H14+I14+J14+K14+L14</f>
        <v>548.45988994231584</v>
      </c>
      <c r="O14" s="13">
        <f>0.117*POWER(C14,2)</f>
        <v>187.20000000000002</v>
      </c>
      <c r="P14" s="13">
        <f t="shared" si="1"/>
        <v>274.22994497115792</v>
      </c>
      <c r="Q14" s="13">
        <f t="shared" si="1"/>
        <v>93.600000000000009</v>
      </c>
    </row>
    <row r="15" spans="1:17" x14ac:dyDescent="0.2">
      <c r="A15" s="10" t="s">
        <v>26</v>
      </c>
      <c r="B15" s="11" t="s">
        <v>104</v>
      </c>
      <c r="C15" s="12">
        <v>40</v>
      </c>
      <c r="D15" s="12">
        <v>10</v>
      </c>
      <c r="E15" s="12">
        <f>IF(C15&gt;27.5,1,0)</f>
        <v>1</v>
      </c>
      <c r="F15" s="13">
        <f>0.0139*POWER(C15,2)*D15</f>
        <v>222.39999999999998</v>
      </c>
      <c r="G15" s="13"/>
      <c r="H15" s="13">
        <f>3.926*(C15-27.5)*E15</f>
        <v>49.075000000000003</v>
      </c>
      <c r="I15" s="13">
        <f>4.257+0.00506*POWER(C15,2)*D15-0.0722*C15*D15</f>
        <v>56.337000000000018</v>
      </c>
      <c r="J15" s="13">
        <f>6.197+0.00932*POWER(D15,2)*E15-0.0686*D15*E15</f>
        <v>6.4430000000000005</v>
      </c>
      <c r="K15" s="13"/>
      <c r="L15" s="13"/>
      <c r="M15" s="13"/>
      <c r="N15" s="13">
        <f t="shared" si="2"/>
        <v>334.255</v>
      </c>
      <c r="O15" s="13">
        <f>0.0785*POWER(C15,2)</f>
        <v>125.6</v>
      </c>
      <c r="P15" s="13">
        <f t="shared" si="1"/>
        <v>167.1275</v>
      </c>
      <c r="Q15" s="13">
        <f t="shared" si="1"/>
        <v>62.8</v>
      </c>
    </row>
    <row r="16" spans="1:17" x14ac:dyDescent="0.2">
      <c r="A16" s="10" t="s">
        <v>27</v>
      </c>
      <c r="B16" s="11" t="s">
        <v>105</v>
      </c>
      <c r="C16" s="12">
        <v>40</v>
      </c>
      <c r="D16" s="12">
        <v>10</v>
      </c>
      <c r="E16" s="12">
        <f>IF(C16&gt;32.5,1,0)</f>
        <v>1</v>
      </c>
      <c r="F16" s="13">
        <f>0.0403*POWER(C16,1.838)*POWER(D16,0.945)</f>
        <v>312.52971089192505</v>
      </c>
      <c r="G16" s="13"/>
      <c r="H16" s="13">
        <f>0.228*POWER((C16-32.5),2)*E16</f>
        <v>12.825000000000001</v>
      </c>
      <c r="I16" s="13">
        <f>0.0521*POWER(C16,2)</f>
        <v>83.36</v>
      </c>
      <c r="J16" s="13">
        <f>0.072*POWER(C16,2)</f>
        <v>115.19999999999999</v>
      </c>
      <c r="K16" s="13"/>
      <c r="L16" s="13"/>
      <c r="M16" s="13"/>
      <c r="N16" s="13">
        <f t="shared" si="2"/>
        <v>523.9147108919251</v>
      </c>
      <c r="O16" s="13">
        <f>0.0189*POWER(C16,2.445)</f>
        <v>156.1343584045832</v>
      </c>
      <c r="P16" s="13">
        <f t="shared" si="1"/>
        <v>261.95735544596255</v>
      </c>
      <c r="Q16" s="13">
        <f t="shared" si="1"/>
        <v>78.067179202291598</v>
      </c>
    </row>
    <row r="17" spans="1:17" x14ac:dyDescent="0.2">
      <c r="A17" s="10" t="s">
        <v>28</v>
      </c>
      <c r="B17" s="11" t="s">
        <v>106</v>
      </c>
      <c r="C17" s="12">
        <v>40</v>
      </c>
      <c r="D17" s="12">
        <v>10</v>
      </c>
      <c r="E17" s="12"/>
      <c r="F17" s="13">
        <f>0.0123*POWER(C17,1.6042)*POWER(D17,1.4131)</f>
        <v>118.31225978163843</v>
      </c>
      <c r="G17" s="13">
        <f>0.0036*POWER(C17,2.6564)</f>
        <v>64.86563317404476</v>
      </c>
      <c r="H17" s="13">
        <f>1.937699+0.001065*POWER(C17,2)*D17</f>
        <v>18.977698999999998</v>
      </c>
      <c r="I17" s="13"/>
      <c r="J17" s="13">
        <f>0.0363*POWER(C17,2.6091)*POWER(D17,-0.9417)+0.0423*POWER(C17,1.7141)</f>
        <v>86.400178333400092</v>
      </c>
      <c r="K17" s="13"/>
      <c r="L17" s="13"/>
      <c r="M17" s="13"/>
      <c r="N17" s="13">
        <f t="shared" si="2"/>
        <v>288.55577028908328</v>
      </c>
      <c r="O17" s="13">
        <f>0.0078*POWER(C17,1.9606)</f>
        <v>10.791788409198292</v>
      </c>
      <c r="P17" s="13">
        <f t="shared" si="1"/>
        <v>144.27788514454164</v>
      </c>
      <c r="Q17" s="13">
        <f t="shared" si="1"/>
        <v>5.3958942045991458</v>
      </c>
    </row>
    <row r="18" spans="1:17" x14ac:dyDescent="0.2">
      <c r="A18" s="10" t="s">
        <v>29</v>
      </c>
      <c r="B18" s="11" t="s">
        <v>107</v>
      </c>
      <c r="C18" s="12">
        <v>40</v>
      </c>
      <c r="D18" s="12">
        <v>10</v>
      </c>
      <c r="E18" s="12"/>
      <c r="F18" s="13">
        <f>0.0189*POWER(C18,2)*D18</f>
        <v>302.40000000000003</v>
      </c>
      <c r="G18" s="13"/>
      <c r="H18" s="13">
        <f>0.0584*POWER(C18,2)</f>
        <v>93.44</v>
      </c>
      <c r="I18" s="13"/>
      <c r="J18" s="13">
        <f>0.0371*POWER(C18,2)+0.968*D18</f>
        <v>69.039999999999992</v>
      </c>
      <c r="K18" s="13"/>
      <c r="L18" s="13"/>
      <c r="M18" s="13"/>
      <c r="N18" s="13">
        <f t="shared" si="2"/>
        <v>464.88</v>
      </c>
      <c r="O18" s="13">
        <f>0.101*POWER(C18,2)</f>
        <v>161.60000000000002</v>
      </c>
      <c r="P18" s="13">
        <f t="shared" si="1"/>
        <v>232.44</v>
      </c>
      <c r="Q18" s="13">
        <f t="shared" si="1"/>
        <v>80.800000000000011</v>
      </c>
    </row>
    <row r="19" spans="1:17" x14ac:dyDescent="0.2">
      <c r="A19" s="10" t="s">
        <v>30</v>
      </c>
      <c r="B19" s="11" t="s">
        <v>108</v>
      </c>
      <c r="C19" s="12">
        <v>40</v>
      </c>
      <c r="D19" s="12">
        <v>10</v>
      </c>
      <c r="E19" s="12"/>
      <c r="F19" s="13">
        <f>0.0123*POWER(C19,1.6042)*POWER(D19,1.4131)</f>
        <v>118.31225978163843</v>
      </c>
      <c r="G19" s="13">
        <f>0.0036*POWER(C19,2.6564)</f>
        <v>64.86563317404476</v>
      </c>
      <c r="H19" s="13">
        <f>1.937699+0.001065*POWER(C19,2)*D19</f>
        <v>18.977698999999998</v>
      </c>
      <c r="I19" s="13"/>
      <c r="J19" s="13">
        <f>0.0363*POWER(C19,2.6091)*POWER(D19,-0.9417)+0.0423*POWER(C19,1.7141)</f>
        <v>86.400178333400092</v>
      </c>
      <c r="K19" s="13"/>
      <c r="L19" s="13"/>
      <c r="M19" s="13"/>
      <c r="N19" s="13">
        <f t="shared" si="2"/>
        <v>288.55577028908328</v>
      </c>
      <c r="O19" s="13">
        <f>0.0078*POWER(C19,1.9606)</f>
        <v>10.791788409198292</v>
      </c>
      <c r="P19" s="13">
        <f t="shared" si="1"/>
        <v>144.27788514454164</v>
      </c>
      <c r="Q19" s="13">
        <f t="shared" si="1"/>
        <v>5.3958942045991458</v>
      </c>
    </row>
    <row r="20" spans="1:17" x14ac:dyDescent="0.2">
      <c r="A20" s="10" t="s">
        <v>31</v>
      </c>
      <c r="B20" s="11" t="s">
        <v>109</v>
      </c>
      <c r="C20" s="12">
        <v>40</v>
      </c>
      <c r="D20" s="12">
        <v>10</v>
      </c>
      <c r="E20" s="12"/>
      <c r="F20" s="13">
        <f>0.0123*POWER(C20,1.6042)*POWER(D20,1.4131)</f>
        <v>118.31225978163843</v>
      </c>
      <c r="G20" s="13">
        <f>0.0036*POWER(C20,2.6564)</f>
        <v>64.86563317404476</v>
      </c>
      <c r="H20" s="13">
        <f>1.937699+0.001065*POWER(C20,2)*D20</f>
        <v>18.977698999999998</v>
      </c>
      <c r="I20" s="13"/>
      <c r="J20" s="13">
        <f>0.0363*POWER(C20,2.6091)*POWER(D20,-0.9417)+0.0423*POWER(C20,1.7141)</f>
        <v>86.400178333400092</v>
      </c>
      <c r="K20" s="13"/>
      <c r="L20" s="13"/>
      <c r="M20" s="13"/>
      <c r="N20" s="13">
        <f t="shared" si="2"/>
        <v>288.55577028908328</v>
      </c>
      <c r="O20" s="13">
        <f>0.0078*POWER(C20,1.9606)</f>
        <v>10.791788409198292</v>
      </c>
      <c r="P20" s="13">
        <f t="shared" si="1"/>
        <v>144.27788514454164</v>
      </c>
      <c r="Q20" s="13">
        <f t="shared" si="1"/>
        <v>5.3958942045991458</v>
      </c>
    </row>
    <row r="21" spans="1:17" x14ac:dyDescent="0.2">
      <c r="A21" s="10" t="s">
        <v>32</v>
      </c>
      <c r="B21" s="11" t="s">
        <v>110</v>
      </c>
      <c r="C21" s="12">
        <v>40</v>
      </c>
      <c r="D21" s="12">
        <v>10</v>
      </c>
      <c r="E21" s="12">
        <f>IF(C21&gt;22.5,1,0)</f>
        <v>1</v>
      </c>
      <c r="F21" s="13">
        <f>0.0132*POWER(C21,2)*D21+0.217*C21*D21</f>
        <v>298</v>
      </c>
      <c r="G21" s="13"/>
      <c r="H21" s="13">
        <f>0.107*POWER((C21-22.5),2)*E21</f>
        <v>32.768749999999997</v>
      </c>
      <c r="I21" s="13">
        <f>0.00792*POWER(C21,2)*D21</f>
        <v>126.72</v>
      </c>
      <c r="J21" s="13">
        <f>0.273*C21*D21</f>
        <v>109.20000000000002</v>
      </c>
      <c r="K21" s="13"/>
      <c r="L21" s="13"/>
      <c r="M21" s="13"/>
      <c r="N21" s="13">
        <f t="shared" si="2"/>
        <v>566.68875000000003</v>
      </c>
      <c r="O21" s="13">
        <f>0.0767*POWER(C21,2)</f>
        <v>122.72000000000001</v>
      </c>
      <c r="P21" s="13">
        <f t="shared" si="1"/>
        <v>283.34437500000001</v>
      </c>
      <c r="Q21" s="13">
        <f t="shared" si="1"/>
        <v>61.360000000000007</v>
      </c>
    </row>
    <row r="22" spans="1:17" x14ac:dyDescent="0.2">
      <c r="A22" s="10" t="s">
        <v>33</v>
      </c>
      <c r="B22" s="11" t="s">
        <v>111</v>
      </c>
      <c r="C22" s="12">
        <v>40</v>
      </c>
      <c r="D22" s="12">
        <v>10</v>
      </c>
      <c r="E22" s="12">
        <f>IF(C22&gt;22.5,1,0)</f>
        <v>1</v>
      </c>
      <c r="F22" s="13">
        <f>0.0132*POWER(C22,2)*D22+0.217*C22*D22</f>
        <v>298</v>
      </c>
      <c r="G22" s="13"/>
      <c r="H22" s="13">
        <f>0.107*POWER((C22-22.5),2)*E22</f>
        <v>32.768749999999997</v>
      </c>
      <c r="I22" s="13">
        <f>0.00792*POWER(C22,2)*D22</f>
        <v>126.72</v>
      </c>
      <c r="J22" s="13">
        <f>0.273*C22*D22</f>
        <v>109.20000000000002</v>
      </c>
      <c r="K22" s="13"/>
      <c r="L22" s="13"/>
      <c r="M22" s="13"/>
      <c r="N22" s="13">
        <f t="shared" si="2"/>
        <v>566.68875000000003</v>
      </c>
      <c r="O22" s="13">
        <f>0.0767*POWER(C22,2)</f>
        <v>122.72000000000001</v>
      </c>
      <c r="P22" s="13">
        <f t="shared" si="1"/>
        <v>283.34437500000001</v>
      </c>
      <c r="Q22" s="13">
        <f t="shared" si="1"/>
        <v>61.360000000000007</v>
      </c>
    </row>
    <row r="23" spans="1:17" x14ac:dyDescent="0.2">
      <c r="A23" s="10" t="s">
        <v>34</v>
      </c>
      <c r="B23" s="11" t="s">
        <v>112</v>
      </c>
      <c r="C23" s="12">
        <v>40</v>
      </c>
      <c r="D23" s="12">
        <v>10</v>
      </c>
      <c r="E23" s="12">
        <f>IF(C23&gt;22.5,1,0)</f>
        <v>1</v>
      </c>
      <c r="F23" s="13">
        <f>0.0132*POWER(C23,2)*D23+0.217*C23*D23</f>
        <v>298</v>
      </c>
      <c r="G23" s="13"/>
      <c r="H23" s="13">
        <f>0.107*POWER((C23-22.5),2)*E23</f>
        <v>32.768749999999997</v>
      </c>
      <c r="I23" s="13">
        <f>0.00792*POWER(C23,2)*D23</f>
        <v>126.72</v>
      </c>
      <c r="J23" s="13">
        <f>0.273*C23*D23</f>
        <v>109.20000000000002</v>
      </c>
      <c r="K23" s="13"/>
      <c r="L23" s="13"/>
      <c r="M23" s="13"/>
      <c r="N23" s="13">
        <f t="shared" si="2"/>
        <v>566.68875000000003</v>
      </c>
      <c r="O23" s="13">
        <f>0.0767*POWER(C23,2)</f>
        <v>122.72000000000001</v>
      </c>
      <c r="P23" s="13">
        <f t="shared" si="1"/>
        <v>283.34437500000001</v>
      </c>
      <c r="Q23" s="13">
        <f t="shared" si="1"/>
        <v>61.360000000000007</v>
      </c>
    </row>
    <row r="24" spans="1:17" x14ac:dyDescent="0.2">
      <c r="A24" s="10" t="s">
        <v>35</v>
      </c>
      <c r="B24" s="11" t="s">
        <v>113</v>
      </c>
      <c r="C24" s="12">
        <v>40</v>
      </c>
      <c r="D24" s="12">
        <v>10</v>
      </c>
      <c r="E24" s="12"/>
      <c r="F24" s="13">
        <f>0.154*POWER(C24,2)</f>
        <v>246.4</v>
      </c>
      <c r="G24" s="13"/>
      <c r="H24" s="13">
        <f>0.0861*POWER(C24,2)</f>
        <v>137.76</v>
      </c>
      <c r="I24" s="13">
        <f>0.127*POWER(C24,2)-0.00598*POWER(C24,2)*D24</f>
        <v>107.52</v>
      </c>
      <c r="J24" s="13">
        <f>0.0726*POWER(C24,2)-0.00275*POWER(C24,2)*D24</f>
        <v>72.16</v>
      </c>
      <c r="K24" s="13"/>
      <c r="L24" s="13"/>
      <c r="M24" s="13"/>
      <c r="N24" s="13">
        <f t="shared" si="2"/>
        <v>563.83999999999992</v>
      </c>
      <c r="O24" s="13">
        <f>0.169*POWER(C24,2)</f>
        <v>270.40000000000003</v>
      </c>
      <c r="P24" s="13">
        <f t="shared" si="1"/>
        <v>281.91999999999996</v>
      </c>
      <c r="Q24" s="13">
        <f t="shared" si="1"/>
        <v>135.20000000000002</v>
      </c>
    </row>
    <row r="25" spans="1:17" x14ac:dyDescent="0.2">
      <c r="A25" s="10" t="s">
        <v>36</v>
      </c>
      <c r="B25" s="11" t="s">
        <v>114</v>
      </c>
      <c r="C25" s="12">
        <v>40</v>
      </c>
      <c r="D25" s="12">
        <v>10</v>
      </c>
      <c r="E25" s="12"/>
      <c r="F25" s="13">
        <f>-5.714+0.018*POWER(C25,2)*D25</f>
        <v>282.286</v>
      </c>
      <c r="G25" s="13">
        <f>-1.5+0.032*POWER(C25,2)+0.001*POWER(C25,2)*D25</f>
        <v>65.7</v>
      </c>
      <c r="H25" s="13">
        <f>0.000000003427*POWER((C25*C25*D25),2.31)</f>
        <v>17.637265979966916</v>
      </c>
      <c r="I25" s="13">
        <f>4.268+0.003*POWER(C25,2)*D25</f>
        <v>52.268000000000001</v>
      </c>
      <c r="J25" s="13">
        <f>0.039*POWER(C25,1.784)</f>
        <v>28.128050399345646</v>
      </c>
      <c r="K25" s="13">
        <f>0.02*POWER((C25*C25*D25),0.737)</f>
        <v>25.08802205999875</v>
      </c>
      <c r="L25" s="13"/>
      <c r="M25" s="13"/>
      <c r="N25" s="13">
        <f t="shared" si="2"/>
        <v>471.10733843931126</v>
      </c>
      <c r="O25" s="13">
        <f>0.0851*POWER(C25,2.151)</f>
        <v>237.66246728826951</v>
      </c>
      <c r="P25" s="13">
        <f t="shared" si="1"/>
        <v>235.55366921965563</v>
      </c>
      <c r="Q25" s="13">
        <f t="shared" si="1"/>
        <v>118.83123364413476</v>
      </c>
    </row>
    <row r="26" spans="1:17" x14ac:dyDescent="0.2">
      <c r="A26" s="10" t="s">
        <v>37</v>
      </c>
      <c r="B26" s="11" t="s">
        <v>115</v>
      </c>
      <c r="C26" s="12">
        <v>40</v>
      </c>
      <c r="D26" s="12">
        <v>10</v>
      </c>
      <c r="E26" s="12"/>
      <c r="F26" s="13">
        <f>-5.714+0.018*POWER(C26,2)*D26</f>
        <v>282.286</v>
      </c>
      <c r="G26" s="13">
        <f>-1.5+0.032*POWER(C26,2)+0.001*POWER(C26,2)*D26</f>
        <v>65.7</v>
      </c>
      <c r="H26" s="13">
        <f>0.000000003427*POWER((C26*C26*D26),2.31)</f>
        <v>17.637265979966916</v>
      </c>
      <c r="I26" s="13">
        <f>4.268+0.003*POWER(C26,2)*D26</f>
        <v>52.268000000000001</v>
      </c>
      <c r="J26" s="13">
        <f>0.039*POWER(C26,1.784)</f>
        <v>28.128050399345646</v>
      </c>
      <c r="K26" s="13">
        <f>0.02*POWER((C26*C26*D26),0.737)</f>
        <v>25.08802205999875</v>
      </c>
      <c r="L26" s="13"/>
      <c r="M26" s="13"/>
      <c r="N26" s="13">
        <f t="shared" si="2"/>
        <v>471.10733843931126</v>
      </c>
      <c r="O26" s="13">
        <f>0.0851*POWER(C26,2.151)</f>
        <v>237.66246728826951</v>
      </c>
      <c r="P26" s="13">
        <f t="shared" si="1"/>
        <v>235.55366921965563</v>
      </c>
      <c r="Q26" s="13">
        <f t="shared" si="1"/>
        <v>118.83123364413476</v>
      </c>
    </row>
    <row r="27" spans="1:17" x14ac:dyDescent="0.2">
      <c r="A27" s="10" t="s">
        <v>38</v>
      </c>
      <c r="B27" s="11" t="s">
        <v>116</v>
      </c>
      <c r="C27" s="12">
        <v>40</v>
      </c>
      <c r="D27" s="12">
        <v>10</v>
      </c>
      <c r="E27" s="12"/>
      <c r="F27" s="13">
        <f>0.0261*POWER(C27,2)*D27</f>
        <v>417.6</v>
      </c>
      <c r="G27" s="13"/>
      <c r="H27" s="13"/>
      <c r="I27" s="13">
        <f>-0.026*POWER(C27,2)+0.536*D27+0.00538*POWER(C27,2)*D27</f>
        <v>49.840000000000011</v>
      </c>
      <c r="J27" s="13">
        <f>0.898*C27-0.445*D27</f>
        <v>31.470000000000002</v>
      </c>
      <c r="K27" s="13"/>
      <c r="L27" s="13"/>
      <c r="M27" s="13"/>
      <c r="N27" s="13">
        <f t="shared" si="2"/>
        <v>498.91000000000008</v>
      </c>
      <c r="O27" s="13">
        <f>0.143*POWER(C27,2)</f>
        <v>228.79999999999998</v>
      </c>
      <c r="P27" s="13">
        <f t="shared" si="1"/>
        <v>249.45500000000004</v>
      </c>
      <c r="Q27" s="13">
        <f t="shared" si="1"/>
        <v>114.39999999999999</v>
      </c>
    </row>
    <row r="28" spans="1:17" x14ac:dyDescent="0.2">
      <c r="A28" s="10" t="s">
        <v>39</v>
      </c>
      <c r="B28" s="11" t="s">
        <v>117</v>
      </c>
      <c r="C28" s="12">
        <v>40</v>
      </c>
      <c r="D28" s="12">
        <v>10</v>
      </c>
      <c r="E28" s="12"/>
      <c r="F28" s="13">
        <f>0.154*POWER(C28,2)</f>
        <v>246.4</v>
      </c>
      <c r="G28" s="13"/>
      <c r="H28" s="13">
        <f>0.0861*POWER(C28,2)</f>
        <v>137.76</v>
      </c>
      <c r="I28" s="13">
        <f>0.127*POWER(C28,2)-0.00598*POWER(C28,2)*D28</f>
        <v>107.52</v>
      </c>
      <c r="J28" s="13">
        <f>0.0726*POWER(C28,2)-0.00275*POWER(C28,2)*D28</f>
        <v>72.16</v>
      </c>
      <c r="K28" s="13"/>
      <c r="L28" s="13"/>
      <c r="M28" s="13"/>
      <c r="N28" s="13">
        <f t="shared" si="2"/>
        <v>563.83999999999992</v>
      </c>
      <c r="O28" s="13">
        <f>0.169*POWER(C28,2)</f>
        <v>270.40000000000003</v>
      </c>
      <c r="P28" s="13">
        <f t="shared" si="1"/>
        <v>281.91999999999996</v>
      </c>
      <c r="Q28" s="13">
        <f t="shared" si="1"/>
        <v>135.20000000000002</v>
      </c>
    </row>
    <row r="29" spans="1:17" x14ac:dyDescent="0.2">
      <c r="A29" s="10" t="s">
        <v>40</v>
      </c>
      <c r="B29" s="11" t="s">
        <v>118</v>
      </c>
      <c r="C29" s="12">
        <v>40</v>
      </c>
      <c r="D29" s="12">
        <v>10</v>
      </c>
      <c r="E29" s="12">
        <f>IF(C29&gt;12.5,1,0)</f>
        <v>1</v>
      </c>
      <c r="F29" s="13">
        <f>0.143*POWER(C29,2)</f>
        <v>228.79999999999998</v>
      </c>
      <c r="G29" s="13"/>
      <c r="H29" s="13">
        <f>(0.0684*POWER((C29-12.5),2)*D29)*E29</f>
        <v>517.27499999999998</v>
      </c>
      <c r="I29" s="13">
        <f>0.0898*POWER(C29,2)</f>
        <v>143.68</v>
      </c>
      <c r="J29" s="13">
        <f>0.0823*POWER(C29,2)</f>
        <v>131.68</v>
      </c>
      <c r="K29" s="13"/>
      <c r="L29" s="13"/>
      <c r="M29" s="13"/>
      <c r="N29" s="13">
        <f t="shared" si="2"/>
        <v>1021.4349999999999</v>
      </c>
      <c r="O29" s="13">
        <f>0.254*POWER(C29,2)</f>
        <v>406.4</v>
      </c>
      <c r="P29" s="13">
        <f t="shared" si="1"/>
        <v>510.71749999999997</v>
      </c>
      <c r="Q29" s="13">
        <f t="shared" si="1"/>
        <v>203.2</v>
      </c>
    </row>
    <row r="30" spans="1:17" x14ac:dyDescent="0.2">
      <c r="A30" s="10" t="s">
        <v>41</v>
      </c>
      <c r="B30" s="11" t="s">
        <v>119</v>
      </c>
      <c r="C30" s="12">
        <v>40</v>
      </c>
      <c r="D30" s="12">
        <v>10</v>
      </c>
      <c r="E30" s="12"/>
      <c r="F30" s="13">
        <f>0.00525*POWER(C30,2)*D30+0.278*C30*D30</f>
        <v>195.20000000000002</v>
      </c>
      <c r="G30" s="13"/>
      <c r="H30" s="13">
        <f>0.0135*POWER(C30,2)*D30</f>
        <v>216</v>
      </c>
      <c r="I30" s="13">
        <f>0.127*C30*D30</f>
        <v>50.8</v>
      </c>
      <c r="J30" s="13">
        <f>0.0463*C30*D30</f>
        <v>18.52</v>
      </c>
      <c r="K30" s="13"/>
      <c r="L30" s="13"/>
      <c r="M30" s="13"/>
      <c r="N30" s="13">
        <f t="shared" si="2"/>
        <v>480.52000000000004</v>
      </c>
      <c r="O30" s="13">
        <f>0.0829*POWER(C30,2)</f>
        <v>132.64000000000001</v>
      </c>
      <c r="P30" s="13">
        <f t="shared" si="1"/>
        <v>240.26000000000002</v>
      </c>
      <c r="Q30" s="13">
        <f t="shared" si="1"/>
        <v>66.320000000000007</v>
      </c>
    </row>
    <row r="31" spans="1:17" x14ac:dyDescent="0.2">
      <c r="A31" s="10" t="s">
        <v>42</v>
      </c>
      <c r="B31" s="11" t="s">
        <v>120</v>
      </c>
      <c r="C31" s="12">
        <v>40</v>
      </c>
      <c r="D31" s="12">
        <v>10</v>
      </c>
      <c r="E31" s="12"/>
      <c r="F31" s="13">
        <f>-5.714+0.018*POWER(C31,2)*D31</f>
        <v>282.286</v>
      </c>
      <c r="G31" s="13">
        <f>-1.5+0.032*POWER(C31,2)+0.001*POWER(C31,2)*D31</f>
        <v>65.7</v>
      </c>
      <c r="H31" s="13">
        <f>0.000000003427*POWER((C31*C31*D31),2.31)</f>
        <v>17.637265979966916</v>
      </c>
      <c r="I31" s="13">
        <f>4.268+0.003*POWER(C31,2)*D31</f>
        <v>52.268000000000001</v>
      </c>
      <c r="J31" s="13">
        <f>0.039*POWER(C31,1.784)</f>
        <v>28.128050399345646</v>
      </c>
      <c r="K31" s="13">
        <f>0.02*POWER((C31*C31*D31),0.737)</f>
        <v>25.08802205999875</v>
      </c>
      <c r="L31" s="13"/>
      <c r="M31" s="13"/>
      <c r="N31" s="13">
        <f t="shared" si="2"/>
        <v>471.10733843931126</v>
      </c>
      <c r="O31" s="13">
        <f>0.0851*POWER(C31,2.151)</f>
        <v>237.66246728826951</v>
      </c>
      <c r="P31" s="13">
        <f t="shared" si="1"/>
        <v>235.55366921965563</v>
      </c>
      <c r="Q31" s="13">
        <f t="shared" si="1"/>
        <v>118.83123364413476</v>
      </c>
    </row>
    <row r="32" spans="1:17" x14ac:dyDescent="0.2">
      <c r="A32" s="10" t="s">
        <v>43</v>
      </c>
      <c r="B32" s="11" t="s">
        <v>121</v>
      </c>
      <c r="C32" s="12">
        <v>40</v>
      </c>
      <c r="D32" s="12">
        <v>10</v>
      </c>
      <c r="E32" s="12">
        <f>IF(C32&gt;22.5,1,0)</f>
        <v>1</v>
      </c>
      <c r="F32" s="13">
        <f>0.013*POWER(C32,2)*D32</f>
        <v>208</v>
      </c>
      <c r="G32" s="13"/>
      <c r="H32" s="13">
        <f>(0.538*POWER((C32-22.5),2)-0.013*POWER((C32-22.5),2)*D32)*E32</f>
        <v>124.95000000000002</v>
      </c>
      <c r="I32" s="13">
        <f>0.0385*POWER(C32,2)</f>
        <v>61.6</v>
      </c>
      <c r="J32" s="13">
        <f>0.0774*POWER(C32,2)-0.00198*POWER(C32,2)*D32</f>
        <v>92.16</v>
      </c>
      <c r="K32" s="13"/>
      <c r="L32" s="13"/>
      <c r="M32" s="13"/>
      <c r="N32" s="13">
        <f t="shared" si="2"/>
        <v>486.71000000000004</v>
      </c>
      <c r="O32" s="13">
        <f>0.122*POWER(C32,2)</f>
        <v>195.2</v>
      </c>
      <c r="P32" s="13">
        <f t="shared" si="1"/>
        <v>243.35500000000002</v>
      </c>
      <c r="Q32" s="13">
        <f t="shared" si="1"/>
        <v>97.6</v>
      </c>
    </row>
    <row r="33" spans="1:17" x14ac:dyDescent="0.2">
      <c r="A33" s="10" t="s">
        <v>44</v>
      </c>
      <c r="B33" s="11" t="s">
        <v>122</v>
      </c>
      <c r="C33" s="12">
        <v>40</v>
      </c>
      <c r="D33" s="12">
        <v>10</v>
      </c>
      <c r="E33" s="12">
        <f>IF(C33&gt;22.5,1,0)</f>
        <v>1</v>
      </c>
      <c r="F33" s="13">
        <f>0.013*POWER(C33,2)*D33</f>
        <v>208</v>
      </c>
      <c r="G33" s="13"/>
      <c r="H33" s="13">
        <f>(0.538*POWER((C33-22.5),2)-0.013*POWER((C33-22.5),2)*D33)*E33</f>
        <v>124.95000000000002</v>
      </c>
      <c r="I33" s="13">
        <f>0.0385*POWER(C33,2)</f>
        <v>61.6</v>
      </c>
      <c r="J33" s="13">
        <f>0.0774*POWER(C33,2)-0.00198*POWER(C33,2)*D33</f>
        <v>92.16</v>
      </c>
      <c r="K33" s="13"/>
      <c r="L33" s="13"/>
      <c r="M33" s="13"/>
      <c r="N33" s="13">
        <f t="shared" si="2"/>
        <v>486.71000000000004</v>
      </c>
      <c r="O33" s="13">
        <f>0.122*POWER(C33,2)</f>
        <v>195.2</v>
      </c>
      <c r="P33" s="13">
        <f t="shared" si="1"/>
        <v>243.35500000000002</v>
      </c>
      <c r="Q33" s="13">
        <f t="shared" si="1"/>
        <v>97.6</v>
      </c>
    </row>
    <row r="34" spans="1:17" x14ac:dyDescent="0.2">
      <c r="A34" s="14" t="s">
        <v>45</v>
      </c>
      <c r="B34" s="11" t="s">
        <v>123</v>
      </c>
      <c r="C34" s="12">
        <v>40</v>
      </c>
      <c r="D34" s="12">
        <v>10</v>
      </c>
      <c r="E34" s="12"/>
      <c r="F34" s="13">
        <f>0.0191*POWER(C34,2)*D34</f>
        <v>305.59999999999997</v>
      </c>
      <c r="G34" s="13"/>
      <c r="H34" s="13">
        <f>0.0512*POWER(C34,2)</f>
        <v>81.92</v>
      </c>
      <c r="I34" s="13"/>
      <c r="J34" s="13">
        <f>0.0567*C34*D34</f>
        <v>22.68</v>
      </c>
      <c r="K34" s="13"/>
      <c r="L34" s="13"/>
      <c r="M34" s="13"/>
      <c r="N34" s="13">
        <f t="shared" si="2"/>
        <v>410.2</v>
      </c>
      <c r="O34" s="13">
        <f>0.214*POWER(C34,2)</f>
        <v>342.4</v>
      </c>
      <c r="P34" s="13">
        <f t="shared" si="1"/>
        <v>205.1</v>
      </c>
      <c r="Q34" s="13">
        <f t="shared" si="1"/>
        <v>171.2</v>
      </c>
    </row>
    <row r="35" spans="1:17" x14ac:dyDescent="0.2">
      <c r="A35" s="10" t="s">
        <v>46</v>
      </c>
      <c r="B35" s="11" t="s">
        <v>124</v>
      </c>
      <c r="C35" s="12">
        <v>40</v>
      </c>
      <c r="D35" s="12">
        <v>10</v>
      </c>
      <c r="E35" s="12">
        <f>IF(C35&gt;12.5,1,0)</f>
        <v>1</v>
      </c>
      <c r="F35" s="13">
        <f>0.0296*POWER(C35,2)*D35</f>
        <v>473.6</v>
      </c>
      <c r="G35" s="13"/>
      <c r="H35" s="13">
        <f>0.231*POWER((C35-12.5),2)*E35</f>
        <v>174.69374999999999</v>
      </c>
      <c r="I35" s="13">
        <f>0.0925*POWER(C35,2)</f>
        <v>148</v>
      </c>
      <c r="J35" s="13">
        <f>2.005*C35</f>
        <v>80.199999999999989</v>
      </c>
      <c r="K35" s="13"/>
      <c r="L35" s="13"/>
      <c r="M35" s="13"/>
      <c r="N35" s="13">
        <f t="shared" si="2"/>
        <v>876.49375000000009</v>
      </c>
      <c r="O35" s="13">
        <f>0.359*POWER(C35,2)</f>
        <v>574.4</v>
      </c>
      <c r="P35" s="13">
        <f t="shared" si="1"/>
        <v>438.24687500000005</v>
      </c>
      <c r="Q35" s="13">
        <f t="shared" si="1"/>
        <v>287.2</v>
      </c>
    </row>
    <row r="36" spans="1:17" x14ac:dyDescent="0.2">
      <c r="A36" s="10" t="s">
        <v>47</v>
      </c>
      <c r="B36" s="11" t="s">
        <v>125</v>
      </c>
      <c r="C36" s="12">
        <v>40</v>
      </c>
      <c r="D36" s="12">
        <v>10</v>
      </c>
      <c r="E36" s="12">
        <f>IF(C36&gt;12.5,1,0)</f>
        <v>1</v>
      </c>
      <c r="F36" s="13">
        <f>0.0296*POWER(C36,2)*D36</f>
        <v>473.6</v>
      </c>
      <c r="G36" s="13"/>
      <c r="H36" s="13">
        <f>0.231*POWER((C36-12.5),2)*E36</f>
        <v>174.69374999999999</v>
      </c>
      <c r="I36" s="13">
        <f>0.0925*POWER(C36,2)</f>
        <v>148</v>
      </c>
      <c r="J36" s="13">
        <f>2.005*C36</f>
        <v>80.199999999999989</v>
      </c>
      <c r="K36" s="13"/>
      <c r="L36" s="13"/>
      <c r="M36" s="13"/>
      <c r="N36" s="13">
        <f t="shared" si="2"/>
        <v>876.49375000000009</v>
      </c>
      <c r="O36" s="13">
        <f>0.359*POWER(C36,2)</f>
        <v>574.4</v>
      </c>
      <c r="P36" s="13">
        <f t="shared" si="1"/>
        <v>438.24687500000005</v>
      </c>
      <c r="Q36" s="13">
        <f t="shared" si="1"/>
        <v>287.2</v>
      </c>
    </row>
    <row r="37" spans="1:17" x14ac:dyDescent="0.2">
      <c r="A37" s="10" t="s">
        <v>48</v>
      </c>
      <c r="B37" s="11" t="s">
        <v>126</v>
      </c>
      <c r="C37" s="12">
        <v>40</v>
      </c>
      <c r="D37" s="12">
        <v>10</v>
      </c>
      <c r="E37" s="12">
        <f>IF(C37&gt;12.5,1,0)</f>
        <v>1</v>
      </c>
      <c r="F37" s="13">
        <f>0.0296*POWER(C37,2)*D37</f>
        <v>473.6</v>
      </c>
      <c r="G37" s="13"/>
      <c r="H37" s="13">
        <f>0.231*POWER((C37-12.5),2)*E37</f>
        <v>174.69374999999999</v>
      </c>
      <c r="I37" s="13">
        <f>0.0925*POWER(C37,2)</f>
        <v>148</v>
      </c>
      <c r="J37" s="13">
        <f>2.005*C37</f>
        <v>80.199999999999989</v>
      </c>
      <c r="K37" s="13"/>
      <c r="L37" s="13"/>
      <c r="M37" s="13"/>
      <c r="N37" s="13">
        <f t="shared" si="2"/>
        <v>876.49375000000009</v>
      </c>
      <c r="O37" s="13">
        <f>0.359*POWER(C37,2)</f>
        <v>574.4</v>
      </c>
      <c r="P37" s="13">
        <f t="shared" si="1"/>
        <v>438.24687500000005</v>
      </c>
      <c r="Q37" s="13">
        <f t="shared" si="1"/>
        <v>287.2</v>
      </c>
    </row>
    <row r="38" spans="1:17" x14ac:dyDescent="0.2">
      <c r="A38" s="10" t="s">
        <v>49</v>
      </c>
      <c r="B38" s="11" t="s">
        <v>127</v>
      </c>
      <c r="C38" s="12">
        <v>40</v>
      </c>
      <c r="D38" s="12">
        <v>10</v>
      </c>
      <c r="E38" s="12">
        <f>IF(C38&gt;22.5,1,0)</f>
        <v>1</v>
      </c>
      <c r="F38" s="13">
        <f>0.013*POWER(C38,2)*D38</f>
        <v>208</v>
      </c>
      <c r="G38" s="13"/>
      <c r="H38" s="13">
        <f>(0.538*POWER((C38-22.5),2)-0.013*POWER((C38-22.5),2)*D38)*E38</f>
        <v>124.95000000000002</v>
      </c>
      <c r="I38" s="13">
        <f>0.0385*POWER(C38,2)</f>
        <v>61.6</v>
      </c>
      <c r="J38" s="13">
        <f>0.0774*POWER(C38,2)-0.00198*POWER(C38,2)*D38</f>
        <v>92.16</v>
      </c>
      <c r="K38" s="13"/>
      <c r="L38" s="13"/>
      <c r="M38" s="13"/>
      <c r="N38" s="13">
        <f t="shared" si="2"/>
        <v>486.71000000000004</v>
      </c>
      <c r="O38" s="13">
        <f>0.122*POWER(C38,2)</f>
        <v>195.2</v>
      </c>
      <c r="P38" s="13">
        <f t="shared" si="1"/>
        <v>243.35500000000002</v>
      </c>
      <c r="Q38" s="13">
        <f t="shared" si="1"/>
        <v>97.6</v>
      </c>
    </row>
    <row r="39" spans="1:17" x14ac:dyDescent="0.2">
      <c r="A39" s="10" t="s">
        <v>50</v>
      </c>
      <c r="B39" s="11" t="s">
        <v>128</v>
      </c>
      <c r="C39" s="12">
        <v>40</v>
      </c>
      <c r="D39" s="12">
        <v>10</v>
      </c>
      <c r="E39" s="12"/>
      <c r="F39" s="13">
        <f>0.0191*POWER(C39,2)*D39</f>
        <v>305.59999999999997</v>
      </c>
      <c r="G39" s="13"/>
      <c r="H39" s="13">
        <f>0.0512*POWER(C39,2)</f>
        <v>81.92</v>
      </c>
      <c r="I39" s="13"/>
      <c r="J39" s="13">
        <f>0.0567*C39*D39</f>
        <v>22.68</v>
      </c>
      <c r="K39" s="13"/>
      <c r="L39" s="13"/>
      <c r="M39" s="13"/>
      <c r="N39" s="13">
        <f t="shared" si="2"/>
        <v>410.2</v>
      </c>
      <c r="O39" s="13">
        <f>0.214*POWER(C39,2)</f>
        <v>342.4</v>
      </c>
      <c r="P39" s="13">
        <f t="shared" si="1"/>
        <v>205.1</v>
      </c>
      <c r="Q39" s="13">
        <f t="shared" si="1"/>
        <v>171.2</v>
      </c>
    </row>
    <row r="40" spans="1:17" x14ac:dyDescent="0.2">
      <c r="A40" s="10" t="s">
        <v>51</v>
      </c>
      <c r="B40" s="11" t="s">
        <v>129</v>
      </c>
      <c r="C40" s="12">
        <v>40</v>
      </c>
      <c r="D40" s="12">
        <v>10</v>
      </c>
      <c r="E40" s="12">
        <f>IF(C40&gt;12.5,1,0)</f>
        <v>1</v>
      </c>
      <c r="F40" s="13">
        <f>0.143*POWER(C40,2)</f>
        <v>228.79999999999998</v>
      </c>
      <c r="G40" s="13"/>
      <c r="H40" s="13">
        <f>(0.0684*POWER((C40-12.5),2)*D40)*E40</f>
        <v>517.27499999999998</v>
      </c>
      <c r="I40" s="13">
        <f>0.0898*POWER(C40,2)</f>
        <v>143.68</v>
      </c>
      <c r="J40" s="13">
        <f>0.0823*POWER(C40,2)</f>
        <v>131.68</v>
      </c>
      <c r="K40" s="13"/>
      <c r="L40" s="13"/>
      <c r="M40" s="13"/>
      <c r="N40" s="13">
        <f t="shared" si="2"/>
        <v>1021.4349999999999</v>
      </c>
      <c r="O40" s="13">
        <f>0.254*POWER(C40,2)</f>
        <v>406.4</v>
      </c>
      <c r="P40" s="13">
        <f t="shared" si="1"/>
        <v>510.71749999999997</v>
      </c>
      <c r="Q40" s="13">
        <f t="shared" si="1"/>
        <v>203.2</v>
      </c>
    </row>
    <row r="41" spans="1:17" x14ac:dyDescent="0.2">
      <c r="A41" s="10" t="s">
        <v>52</v>
      </c>
      <c r="B41" s="11" t="s">
        <v>130</v>
      </c>
      <c r="C41" s="12">
        <v>40</v>
      </c>
      <c r="D41" s="12">
        <v>10</v>
      </c>
      <c r="E41" s="12">
        <f>IF(C41&gt;12.5,1,0)</f>
        <v>1</v>
      </c>
      <c r="F41" s="13">
        <f>0.143*POWER(C41,2)</f>
        <v>228.79999999999998</v>
      </c>
      <c r="G41" s="13"/>
      <c r="H41" s="13">
        <f>(0.0684*POWER((C41-12.5),2)*D41)*E41</f>
        <v>517.27499999999998</v>
      </c>
      <c r="I41" s="13">
        <f>0.0898*POWER(C41,2)</f>
        <v>143.68</v>
      </c>
      <c r="J41" s="13">
        <f>0.0823*POWER(C41,2)</f>
        <v>131.68</v>
      </c>
      <c r="K41" s="13"/>
      <c r="L41" s="13"/>
      <c r="M41" s="13"/>
      <c r="N41" s="13">
        <f t="shared" si="2"/>
        <v>1021.4349999999999</v>
      </c>
      <c r="O41" s="13">
        <f>0.254*POWER(C41,2)</f>
        <v>406.4</v>
      </c>
      <c r="P41" s="13">
        <f t="shared" si="1"/>
        <v>510.71749999999997</v>
      </c>
      <c r="Q41" s="13">
        <f t="shared" si="1"/>
        <v>203.2</v>
      </c>
    </row>
    <row r="42" spans="1:17" x14ac:dyDescent="0.2">
      <c r="A42" s="10" t="s">
        <v>53</v>
      </c>
      <c r="B42" s="11" t="s">
        <v>131</v>
      </c>
      <c r="C42" s="12">
        <v>40</v>
      </c>
      <c r="D42" s="12">
        <v>10</v>
      </c>
      <c r="E42" s="12">
        <f>IF(C42&gt;22.5,1,0)</f>
        <v>1</v>
      </c>
      <c r="F42" s="13">
        <f>0.0676*POWER(C42,2)+0.0182*POWER(C42,2)*D42</f>
        <v>399.36</v>
      </c>
      <c r="G42" s="13"/>
      <c r="H42" s="13">
        <f>(0.83*POWER((C42-22.5),2)-0.0248*POWER((C42-22.5),2)*D42)*E42</f>
        <v>178.23750000000001</v>
      </c>
      <c r="I42" s="13">
        <f>0.0792*POWER(C42,2)</f>
        <v>126.72000000000001</v>
      </c>
      <c r="J42" s="13">
        <f>0.093*POWER(C42,2)-0.00226*POWER(C42,2)*D42</f>
        <v>112.64000000000001</v>
      </c>
      <c r="K42" s="13"/>
      <c r="L42" s="13"/>
      <c r="M42" s="13"/>
      <c r="N42" s="13">
        <f t="shared" si="2"/>
        <v>816.9575000000001</v>
      </c>
      <c r="O42" s="13">
        <f>0.106*POWER(C42,2)</f>
        <v>169.6</v>
      </c>
      <c r="P42" s="13">
        <f t="shared" si="1"/>
        <v>408.47875000000005</v>
      </c>
      <c r="Q42" s="13">
        <f t="shared" si="1"/>
        <v>84.8</v>
      </c>
    </row>
    <row r="43" spans="1:17" x14ac:dyDescent="0.2">
      <c r="A43" s="10" t="s">
        <v>54</v>
      </c>
      <c r="B43" s="11" t="s">
        <v>132</v>
      </c>
      <c r="C43" s="12">
        <v>40</v>
      </c>
      <c r="D43" s="12">
        <v>10</v>
      </c>
      <c r="E43" s="12">
        <f>IF(C43&gt;12.5,1,0)</f>
        <v>1</v>
      </c>
      <c r="F43" s="13">
        <f>0.0142*POWER(C43,2)*D43</f>
        <v>227.20000000000002</v>
      </c>
      <c r="G43" s="13"/>
      <c r="H43" s="13">
        <f>0.223*POWER((C43-12.5),2)*E43</f>
        <v>168.64375000000001</v>
      </c>
      <c r="I43" s="13">
        <f>0.23*C43*D43</f>
        <v>92.000000000000014</v>
      </c>
      <c r="J43" s="13">
        <f>0.221*C43*D43</f>
        <v>88.4</v>
      </c>
      <c r="K43" s="13"/>
      <c r="L43" s="13"/>
      <c r="M43" s="13"/>
      <c r="N43" s="13">
        <f t="shared" si="2"/>
        <v>576.24374999999998</v>
      </c>
      <c r="O43" s="13">
        <f>0.0211*POWER(C43,2.804)</f>
        <v>655.32791951357524</v>
      </c>
      <c r="P43" s="13">
        <f t="shared" si="1"/>
        <v>288.12187499999999</v>
      </c>
      <c r="Q43" s="13">
        <f t="shared" si="1"/>
        <v>327.66395975678762</v>
      </c>
    </row>
    <row r="44" spans="1:17" x14ac:dyDescent="0.2">
      <c r="A44" s="10" t="s">
        <v>55</v>
      </c>
      <c r="B44" s="11" t="s">
        <v>133</v>
      </c>
      <c r="C44" s="12">
        <v>40</v>
      </c>
      <c r="D44" s="12">
        <v>10</v>
      </c>
      <c r="E44" s="12"/>
      <c r="F44" s="13">
        <f>-3.824+0.01709*POWER(C44,2)*D44</f>
        <v>269.61599999999999</v>
      </c>
      <c r="G44" s="13">
        <f>0.00165*POWER(C44,2.392)*POWER(D44,0.761)</f>
        <v>64.656388622730887</v>
      </c>
      <c r="H44" s="13">
        <f>0.04649*POWER(C44,2.183)</f>
        <v>146.10211646294536</v>
      </c>
      <c r="I44" s="13"/>
      <c r="J44" s="13">
        <f>0.01246*POWER(C44,2.44)</f>
        <v>101.05188546563815</v>
      </c>
      <c r="K44" s="13">
        <f>0.01908*POWER(C44,2)</f>
        <v>30.527999999999999</v>
      </c>
      <c r="L44" s="13">
        <f>0.001016*POWER(C44,2)*D44</f>
        <v>16.256</v>
      </c>
      <c r="M44" s="13"/>
      <c r="N44" s="13">
        <f t="shared" si="2"/>
        <v>628.21039055131439</v>
      </c>
      <c r="O44" s="13">
        <f>1.042*POWER(C44,1.254)</f>
        <v>106.3777861994793</v>
      </c>
      <c r="P44" s="13">
        <f t="shared" si="1"/>
        <v>314.10519527565719</v>
      </c>
      <c r="Q44" s="13">
        <f t="shared" si="1"/>
        <v>53.188893099739651</v>
      </c>
    </row>
    <row r="45" spans="1:17" x14ac:dyDescent="0.2">
      <c r="A45" s="10" t="s">
        <v>56</v>
      </c>
      <c r="B45" s="11" t="s">
        <v>134</v>
      </c>
      <c r="C45" s="12">
        <v>40</v>
      </c>
      <c r="D45" s="12">
        <v>10</v>
      </c>
      <c r="E45" s="12"/>
      <c r="F45" s="13">
        <f>-3.824+0.01709*POWER(C45,2)*D45</f>
        <v>269.61599999999999</v>
      </c>
      <c r="G45" s="13">
        <f>0.00165*POWER(C45,2.392)*POWER(D45,0.761)</f>
        <v>64.656388622730887</v>
      </c>
      <c r="H45" s="13">
        <f>0.04649*POWER(C45,2.183)</f>
        <v>146.10211646294536</v>
      </c>
      <c r="I45" s="13"/>
      <c r="J45" s="13">
        <f>0.01246*POWER(C45,2.44)</f>
        <v>101.05188546563815</v>
      </c>
      <c r="K45" s="13">
        <f>0.01908*POWER(C45,2)</f>
        <v>30.527999999999999</v>
      </c>
      <c r="L45" s="13">
        <f>0.001016*POWER(C45,2)*D45</f>
        <v>16.256</v>
      </c>
      <c r="M45" s="13"/>
      <c r="N45" s="13">
        <f t="shared" si="2"/>
        <v>628.21039055131439</v>
      </c>
      <c r="O45" s="13">
        <f>1.042*POWER(C45,1.254)</f>
        <v>106.3777861994793</v>
      </c>
      <c r="P45" s="13">
        <f t="shared" si="1"/>
        <v>314.10519527565719</v>
      </c>
      <c r="Q45" s="13">
        <f t="shared" si="1"/>
        <v>53.188893099739651</v>
      </c>
    </row>
    <row r="46" spans="1:17" x14ac:dyDescent="0.2">
      <c r="A46" s="10" t="s">
        <v>57</v>
      </c>
      <c r="B46" s="11" t="s">
        <v>135</v>
      </c>
      <c r="C46" s="12">
        <v>40</v>
      </c>
      <c r="D46" s="12">
        <v>10</v>
      </c>
      <c r="E46" s="12">
        <f>IF(C46&gt;22.5,1,0)</f>
        <v>1</v>
      </c>
      <c r="F46" s="13">
        <f>0.0676*POWER(C46,2)+0.0182*POWER(C46,2)*D46</f>
        <v>399.36</v>
      </c>
      <c r="G46" s="13"/>
      <c r="H46" s="13">
        <f>(0.83*POWER((C46-22.5),2)-0.0248*POWER((C46-22.5),2)*D46)*E46</f>
        <v>178.23750000000001</v>
      </c>
      <c r="I46" s="13">
        <f>0.0792*POWER(C46,2)</f>
        <v>126.72000000000001</v>
      </c>
      <c r="J46" s="13">
        <f>0.093*POWER(C46,2)-0.00226*POWER(C46,2)*D46</f>
        <v>112.64000000000001</v>
      </c>
      <c r="K46" s="13"/>
      <c r="L46" s="13"/>
      <c r="M46" s="13"/>
      <c r="N46" s="13">
        <f t="shared" si="2"/>
        <v>816.9575000000001</v>
      </c>
      <c r="O46" s="13">
        <f>0.106*POWER(C46,2)</f>
        <v>169.6</v>
      </c>
      <c r="P46" s="13">
        <f t="shared" si="1"/>
        <v>408.47875000000005</v>
      </c>
      <c r="Q46" s="13">
        <f t="shared" si="1"/>
        <v>84.8</v>
      </c>
    </row>
    <row r="47" spans="1:17" x14ac:dyDescent="0.2">
      <c r="A47" s="10" t="s">
        <v>58</v>
      </c>
      <c r="B47" s="11" t="s">
        <v>136</v>
      </c>
      <c r="C47" s="12">
        <v>40</v>
      </c>
      <c r="D47" s="12">
        <v>10</v>
      </c>
      <c r="E47" s="12"/>
      <c r="F47" s="13">
        <f>0.0191*POWER(C47,2)*D47</f>
        <v>305.59999999999997</v>
      </c>
      <c r="G47" s="13"/>
      <c r="H47" s="13">
        <f>0.0512*POWER(C47,2)</f>
        <v>81.92</v>
      </c>
      <c r="I47" s="13"/>
      <c r="J47" s="13">
        <f>0.0567*C47*D47</f>
        <v>22.68</v>
      </c>
      <c r="K47" s="13"/>
      <c r="L47" s="13"/>
      <c r="M47" s="13"/>
      <c r="N47" s="13">
        <f t="shared" si="2"/>
        <v>410.2</v>
      </c>
      <c r="O47" s="13">
        <f>0.214*POWER(C47,2)</f>
        <v>342.4</v>
      </c>
      <c r="P47" s="13">
        <f t="shared" si="1"/>
        <v>205.1</v>
      </c>
      <c r="Q47" s="13">
        <f t="shared" si="1"/>
        <v>171.2</v>
      </c>
    </row>
    <row r="48" spans="1:17" x14ac:dyDescent="0.2">
      <c r="A48" s="10" t="s">
        <v>59</v>
      </c>
      <c r="B48" s="11" t="s">
        <v>137</v>
      </c>
      <c r="C48" s="12">
        <v>40</v>
      </c>
      <c r="D48" s="12">
        <v>10</v>
      </c>
      <c r="E48" s="12">
        <f>IF(C48&gt;22.5,1,0)</f>
        <v>1</v>
      </c>
      <c r="F48" s="13">
        <f>0.0676*POWER(C48,2)+0.0182*POWER(C48,2)*D48</f>
        <v>399.36</v>
      </c>
      <c r="G48" s="13"/>
      <c r="H48" s="13">
        <f>(0.83*POWER((C48-22.5),2)-0.0248*POWER((C48-22.5),2)*D48)*E48</f>
        <v>178.23750000000001</v>
      </c>
      <c r="I48" s="13">
        <f>0.0792*POWER(C48,2)</f>
        <v>126.72000000000001</v>
      </c>
      <c r="J48" s="13">
        <f>0.093*POWER(C48,2)-0.00226*POWER(C48,2)*D48</f>
        <v>112.64000000000001</v>
      </c>
      <c r="K48" s="13"/>
      <c r="L48" s="13"/>
      <c r="M48" s="13"/>
      <c r="N48" s="13">
        <f t="shared" si="2"/>
        <v>816.9575000000001</v>
      </c>
      <c r="O48" s="13">
        <f>0.106*POWER(C48,2)</f>
        <v>169.6</v>
      </c>
      <c r="P48" s="13">
        <f t="shared" si="1"/>
        <v>408.47875000000005</v>
      </c>
      <c r="Q48" s="13">
        <f t="shared" si="1"/>
        <v>84.8</v>
      </c>
    </row>
    <row r="49" spans="1:17" x14ac:dyDescent="0.2">
      <c r="A49" s="10" t="s">
        <v>60</v>
      </c>
      <c r="B49" s="11" t="s">
        <v>138</v>
      </c>
      <c r="C49" s="12">
        <v>40</v>
      </c>
      <c r="D49" s="12">
        <v>10</v>
      </c>
      <c r="E49" s="12"/>
      <c r="F49" s="13">
        <f>0.0191*POWER(C49,2)*D49</f>
        <v>305.59999999999997</v>
      </c>
      <c r="G49" s="13"/>
      <c r="H49" s="13">
        <f>0.0512*POWER(C49,2)</f>
        <v>81.92</v>
      </c>
      <c r="I49" s="13"/>
      <c r="J49" s="13">
        <f>0.0567*C49*D49</f>
        <v>22.68</v>
      </c>
      <c r="K49" s="13"/>
      <c r="L49" s="13"/>
      <c r="M49" s="13"/>
      <c r="N49" s="13">
        <f t="shared" si="2"/>
        <v>410.2</v>
      </c>
      <c r="O49" s="13">
        <f>0.214*POWER(C49,2)</f>
        <v>342.4</v>
      </c>
      <c r="P49" s="13">
        <f t="shared" si="1"/>
        <v>205.1</v>
      </c>
      <c r="Q49" s="13">
        <f t="shared" si="1"/>
        <v>171.2</v>
      </c>
    </row>
    <row r="50" spans="1:17" x14ac:dyDescent="0.2">
      <c r="A50" s="10" t="s">
        <v>61</v>
      </c>
      <c r="B50" s="11" t="s">
        <v>139</v>
      </c>
      <c r="C50" s="12">
        <v>40</v>
      </c>
      <c r="D50" s="12">
        <v>10</v>
      </c>
      <c r="E50" s="12">
        <f>IF(C50&gt;12.5,1,0)</f>
        <v>1</v>
      </c>
      <c r="F50" s="13">
        <f>0.0296*POWER(C50,2)*D50</f>
        <v>473.6</v>
      </c>
      <c r="G50" s="13"/>
      <c r="H50" s="13">
        <f>0.231*POWER((C50-12.5),2)*E50</f>
        <v>174.69374999999999</v>
      </c>
      <c r="I50" s="13">
        <f>0.0925*POWER(C50,2)</f>
        <v>148</v>
      </c>
      <c r="J50" s="13">
        <f>2.005*C50</f>
        <v>80.199999999999989</v>
      </c>
      <c r="K50" s="13"/>
      <c r="L50" s="13"/>
      <c r="M50" s="13"/>
      <c r="N50" s="13">
        <f t="shared" si="2"/>
        <v>876.49375000000009</v>
      </c>
      <c r="O50" s="13">
        <f>0.359*POWER(C50,2)</f>
        <v>574.4</v>
      </c>
      <c r="P50" s="13">
        <f>N50/2</f>
        <v>438.24687500000005</v>
      </c>
      <c r="Q50" s="13">
        <f>O50/2</f>
        <v>287.2</v>
      </c>
    </row>
    <row r="51" spans="1:17" x14ac:dyDescent="0.2">
      <c r="A51" s="15" t="s">
        <v>62</v>
      </c>
      <c r="B51" s="11" t="s">
        <v>140</v>
      </c>
      <c r="C51" s="12">
        <v>40</v>
      </c>
      <c r="D51" s="12">
        <v>10</v>
      </c>
      <c r="E51" s="12"/>
      <c r="F51" s="13">
        <f>0.0191*POWER(C51,2)*D51</f>
        <v>305.59999999999997</v>
      </c>
      <c r="G51" s="13"/>
      <c r="H51" s="13">
        <f>0.0512*POWER(C51,2)</f>
        <v>81.92</v>
      </c>
      <c r="I51" s="13"/>
      <c r="J51" s="13">
        <f>0.0567*C51*D51</f>
        <v>22.68</v>
      </c>
      <c r="K51" s="13"/>
      <c r="L51" s="13"/>
      <c r="M51" s="13"/>
      <c r="N51" s="13">
        <f t="shared" si="2"/>
        <v>410.2</v>
      </c>
      <c r="O51" s="13">
        <f>0.214*POWER(C51,2)</f>
        <v>342.4</v>
      </c>
      <c r="P51" s="16"/>
      <c r="Q51" s="17"/>
    </row>
    <row r="52" spans="1:17" x14ac:dyDescent="0.2">
      <c r="A52" s="15" t="s">
        <v>63</v>
      </c>
      <c r="B52" s="11" t="s">
        <v>141</v>
      </c>
      <c r="C52" s="12">
        <v>40</v>
      </c>
      <c r="D52" s="12">
        <v>10</v>
      </c>
      <c r="E52" s="12">
        <f>IF(C52&gt;12.5,1,0)</f>
        <v>1</v>
      </c>
      <c r="F52" s="13">
        <f>0.0296*POWER(C52,2)*D52</f>
        <v>473.6</v>
      </c>
      <c r="G52" s="13"/>
      <c r="H52" s="13">
        <f>0.231*POWER((C52-12.5),2)*E52</f>
        <v>174.69374999999999</v>
      </c>
      <c r="I52" s="13">
        <f>0.0925*POWER(C52,2)</f>
        <v>148</v>
      </c>
      <c r="J52" s="13">
        <f>2.005*C52</f>
        <v>80.199999999999989</v>
      </c>
      <c r="K52" s="13"/>
      <c r="L52" s="13"/>
      <c r="M52" s="13"/>
      <c r="N52" s="13">
        <f t="shared" si="2"/>
        <v>876.49375000000009</v>
      </c>
      <c r="O52" s="13">
        <f>0.359*POWER(C52,2)</f>
        <v>574.4</v>
      </c>
      <c r="P52" s="16"/>
      <c r="Q52" s="17"/>
    </row>
    <row r="53" spans="1:17" x14ac:dyDescent="0.2">
      <c r="A53" s="15" t="s">
        <v>64</v>
      </c>
      <c r="B53" s="11" t="s">
        <v>142</v>
      </c>
      <c r="C53" s="12">
        <v>40</v>
      </c>
      <c r="D53" s="12">
        <v>10</v>
      </c>
      <c r="E53" s="12">
        <f>IF(C53&gt;12.5,1,0)</f>
        <v>1</v>
      </c>
      <c r="F53" s="13">
        <f>0.143*POWER(C53,2)</f>
        <v>228.79999999999998</v>
      </c>
      <c r="G53" s="13"/>
      <c r="H53" s="13">
        <f>(0.0684*POWER((C53-12.5),2)*D53)*E53</f>
        <v>517.27499999999998</v>
      </c>
      <c r="I53" s="13">
        <f>0.0898*POWER(C53,2)</f>
        <v>143.68</v>
      </c>
      <c r="J53" s="13">
        <f>0.0823*POWER(C53,2)</f>
        <v>131.68</v>
      </c>
      <c r="K53" s="13"/>
      <c r="L53" s="13"/>
      <c r="M53" s="13"/>
      <c r="N53" s="13">
        <f t="shared" si="2"/>
        <v>1021.4349999999999</v>
      </c>
      <c r="O53" s="13">
        <f>0.254*POWER(C53,2)</f>
        <v>406.4</v>
      </c>
      <c r="P53" s="16"/>
      <c r="Q53" s="17"/>
    </row>
    <row r="54" spans="1:17" x14ac:dyDescent="0.2">
      <c r="A54" s="15" t="s">
        <v>65</v>
      </c>
      <c r="B54" s="11" t="s">
        <v>143</v>
      </c>
      <c r="C54" s="12">
        <v>40</v>
      </c>
      <c r="D54" s="12">
        <v>10</v>
      </c>
      <c r="E54" s="12">
        <f>IF(C54&gt;12.5,1,0)</f>
        <v>1</v>
      </c>
      <c r="F54" s="13">
        <f>0.0296*POWER(C54,2)*D54</f>
        <v>473.6</v>
      </c>
      <c r="G54" s="13"/>
      <c r="H54" s="13">
        <f>0.231*POWER((C54-12.5),2)*E54</f>
        <v>174.69374999999999</v>
      </c>
      <c r="I54" s="13">
        <f>0.0925*POWER(C54,2)</f>
        <v>148</v>
      </c>
      <c r="J54" s="13">
        <f>2.005*C54</f>
        <v>80.199999999999989</v>
      </c>
      <c r="K54" s="13"/>
      <c r="L54" s="13"/>
      <c r="M54" s="13"/>
      <c r="N54" s="13">
        <f t="shared" si="2"/>
        <v>876.49375000000009</v>
      </c>
      <c r="O54" s="13">
        <f>0.359*POWER(C54,2)</f>
        <v>574.4</v>
      </c>
      <c r="P54" s="16"/>
      <c r="Q54" s="17"/>
    </row>
    <row r="55" spans="1:17" x14ac:dyDescent="0.2">
      <c r="A55" s="15" t="s">
        <v>66</v>
      </c>
      <c r="B55" s="11" t="s">
        <v>144</v>
      </c>
      <c r="C55" s="12">
        <v>40</v>
      </c>
      <c r="D55" s="12">
        <v>10</v>
      </c>
      <c r="E55" s="12">
        <f>IF(C55&gt;12.5,1,0)</f>
        <v>1</v>
      </c>
      <c r="F55" s="13">
        <f>0.143*POWER(C55,2)</f>
        <v>228.79999999999998</v>
      </c>
      <c r="G55" s="13"/>
      <c r="H55" s="13">
        <f>(0.0684*POWER((C55-12.5),2)*D55)*E55</f>
        <v>517.27499999999998</v>
      </c>
      <c r="I55" s="13">
        <f>0.0898*POWER(C55,2)</f>
        <v>143.68</v>
      </c>
      <c r="J55" s="13">
        <f>0.0823*POWER(C55,2)</f>
        <v>131.68</v>
      </c>
      <c r="K55" s="13"/>
      <c r="L55" s="13"/>
      <c r="M55" s="13"/>
      <c r="N55" s="13">
        <f t="shared" si="2"/>
        <v>1021.4349999999999</v>
      </c>
      <c r="O55" s="13">
        <f>0.254*POWER(C55,2)</f>
        <v>406.4</v>
      </c>
      <c r="P55" s="16"/>
      <c r="Q55" s="17"/>
    </row>
    <row r="56" spans="1:17" x14ac:dyDescent="0.2">
      <c r="A56" s="15" t="s">
        <v>67</v>
      </c>
      <c r="B56" s="11" t="s">
        <v>145</v>
      </c>
      <c r="C56" s="12">
        <v>40</v>
      </c>
      <c r="D56" s="12">
        <v>10</v>
      </c>
      <c r="E56" s="12">
        <f>IF(C56&gt;22.5,1,0)</f>
        <v>1</v>
      </c>
      <c r="F56" s="13">
        <f>0.0132*POWER(C56,2)*D56+0.217*C56*D56</f>
        <v>298</v>
      </c>
      <c r="G56" s="13"/>
      <c r="H56" s="13">
        <f>0.107*POWER((C56-22.5),2)*E56</f>
        <v>32.768749999999997</v>
      </c>
      <c r="I56" s="13">
        <f>0.00792*POWER(C56,2)*D56</f>
        <v>126.72</v>
      </c>
      <c r="J56" s="13">
        <f>0.273*C56*D56</f>
        <v>109.20000000000002</v>
      </c>
      <c r="K56" s="13"/>
      <c r="L56" s="13"/>
      <c r="M56" s="13"/>
      <c r="N56" s="13">
        <f t="shared" si="2"/>
        <v>566.68875000000003</v>
      </c>
      <c r="O56" s="13">
        <f>0.0767*POWER(C56,2)</f>
        <v>122.72000000000001</v>
      </c>
      <c r="P56" s="16"/>
      <c r="Q56" s="17"/>
    </row>
    <row r="57" spans="1:17" x14ac:dyDescent="0.2">
      <c r="A57" s="15" t="s">
        <v>68</v>
      </c>
      <c r="B57" s="11" t="s">
        <v>146</v>
      </c>
      <c r="C57" s="12">
        <v>40</v>
      </c>
      <c r="D57" s="12">
        <v>10</v>
      </c>
      <c r="E57" s="12"/>
      <c r="F57" s="13">
        <f>0.154*POWER(C57,2)</f>
        <v>246.4</v>
      </c>
      <c r="G57" s="13"/>
      <c r="H57" s="13">
        <f>0.0861*POWER(C57,2)</f>
        <v>137.76</v>
      </c>
      <c r="I57" s="13">
        <f>0.127*POWER(C57,2)-0.00598*POWER(C57,2)*D57</f>
        <v>107.52</v>
      </c>
      <c r="J57" s="13">
        <f>0.0726*POWER(C57,2)-0.00275*POWER(C57,2)*D57</f>
        <v>72.16</v>
      </c>
      <c r="K57" s="13"/>
      <c r="L57" s="13"/>
      <c r="M57" s="13"/>
      <c r="N57" s="13">
        <f t="shared" si="2"/>
        <v>563.83999999999992</v>
      </c>
      <c r="O57" s="13">
        <f>0.169*POWER(C57,2)</f>
        <v>270.40000000000003</v>
      </c>
      <c r="P57" s="16"/>
      <c r="Q57" s="17"/>
    </row>
    <row r="58" spans="1:17" x14ac:dyDescent="0.2">
      <c r="A58" s="15" t="s">
        <v>69</v>
      </c>
      <c r="B58" s="11" t="s">
        <v>147</v>
      </c>
      <c r="C58" s="12">
        <v>40</v>
      </c>
      <c r="D58" s="12">
        <v>10</v>
      </c>
      <c r="E58" s="12">
        <f>IF(C58&gt;12.5,1,0)</f>
        <v>1</v>
      </c>
      <c r="F58" s="13">
        <f>0.0296*POWER(C58,2)*D58</f>
        <v>473.6</v>
      </c>
      <c r="G58" s="13"/>
      <c r="H58" s="13">
        <f>0.231*POWER((C58-12.5),2)*E58</f>
        <v>174.69374999999999</v>
      </c>
      <c r="I58" s="13">
        <f>0.0925*POWER(C58,2)</f>
        <v>148</v>
      </c>
      <c r="J58" s="13">
        <f>2.005*C58</f>
        <v>80.199999999999989</v>
      </c>
      <c r="K58" s="13"/>
      <c r="L58" s="13"/>
      <c r="M58" s="13"/>
      <c r="N58" s="13">
        <f t="shared" si="2"/>
        <v>876.49375000000009</v>
      </c>
      <c r="O58" s="13">
        <f>0.359*POWER(C58,2)</f>
        <v>574.4</v>
      </c>
      <c r="P58" s="16"/>
      <c r="Q58" s="17"/>
    </row>
    <row r="59" spans="1:17" x14ac:dyDescent="0.2">
      <c r="A59" s="15" t="s">
        <v>70</v>
      </c>
      <c r="B59" s="11" t="s">
        <v>148</v>
      </c>
      <c r="C59" s="12">
        <v>40</v>
      </c>
      <c r="D59" s="12">
        <v>10</v>
      </c>
      <c r="E59" s="12">
        <f>IF(C59&gt;12.5,1,0)</f>
        <v>1</v>
      </c>
      <c r="F59" s="13">
        <f>0.0296*POWER(C59,2)*D59</f>
        <v>473.6</v>
      </c>
      <c r="G59" s="13"/>
      <c r="H59" s="13">
        <f>0.231*POWER((C59-12.5),2)*E59</f>
        <v>174.69374999999999</v>
      </c>
      <c r="I59" s="13">
        <f>0.0925*POWER(C59,2)</f>
        <v>148</v>
      </c>
      <c r="J59" s="13">
        <f>2.005*C59</f>
        <v>80.199999999999989</v>
      </c>
      <c r="K59" s="13"/>
      <c r="L59" s="13"/>
      <c r="M59" s="13"/>
      <c r="N59" s="13">
        <f t="shared" si="2"/>
        <v>876.49375000000009</v>
      </c>
      <c r="O59" s="13">
        <f>0.359*POWER(C59,2)</f>
        <v>574.4</v>
      </c>
      <c r="P59" s="16"/>
      <c r="Q59" s="17"/>
    </row>
    <row r="60" spans="1:17" x14ac:dyDescent="0.2">
      <c r="A60" s="15" t="s">
        <v>71</v>
      </c>
      <c r="B60" s="11" t="s">
        <v>149</v>
      </c>
      <c r="C60" s="12">
        <v>40</v>
      </c>
      <c r="D60" s="12">
        <v>10</v>
      </c>
      <c r="E60" s="12">
        <f>IF(C60&gt;12.5,1,0)</f>
        <v>1</v>
      </c>
      <c r="F60" s="13">
        <f>0.0296*POWER(C60,2)*D60</f>
        <v>473.6</v>
      </c>
      <c r="G60" s="13"/>
      <c r="H60" s="13">
        <f>0.231*POWER((C60-12.5),2)*E60</f>
        <v>174.69374999999999</v>
      </c>
      <c r="I60" s="13">
        <f>0.0925*POWER(C60,2)</f>
        <v>148</v>
      </c>
      <c r="J60" s="13">
        <f>2.005*C60</f>
        <v>80.199999999999989</v>
      </c>
      <c r="K60" s="13"/>
      <c r="L60" s="13"/>
      <c r="M60" s="13"/>
      <c r="N60" s="13">
        <f t="shared" si="2"/>
        <v>876.49375000000009</v>
      </c>
      <c r="O60" s="13">
        <f>0.359*POWER(C60,2)</f>
        <v>574.4</v>
      </c>
      <c r="P60" s="16"/>
      <c r="Q60" s="17"/>
    </row>
    <row r="61" spans="1:17" x14ac:dyDescent="0.2">
      <c r="A61" s="15" t="s">
        <v>72</v>
      </c>
      <c r="B61" s="11" t="s">
        <v>150</v>
      </c>
      <c r="C61" s="12">
        <v>40</v>
      </c>
      <c r="D61" s="12">
        <v>10</v>
      </c>
      <c r="E61" s="12">
        <f>IF(C61&gt;22.5,1,0)</f>
        <v>1</v>
      </c>
      <c r="F61" s="13">
        <f>0.013*POWER(C61,2)*D61</f>
        <v>208</v>
      </c>
      <c r="G61" s="13"/>
      <c r="H61" s="13">
        <f>(0.538*POWER((C61-22.5),2)-0.013*POWER((C61-22.5),2)*D61)*E61</f>
        <v>124.95000000000002</v>
      </c>
      <c r="I61" s="13">
        <f>0.0385*POWER(C61,2)</f>
        <v>61.6</v>
      </c>
      <c r="J61" s="13">
        <f>0.0774*POWER(C61,2)-0.00198*POWER(C61,2)*D61</f>
        <v>92.16</v>
      </c>
      <c r="K61" s="13"/>
      <c r="L61" s="13"/>
      <c r="M61" s="13"/>
      <c r="N61" s="13">
        <f t="shared" si="2"/>
        <v>486.71000000000004</v>
      </c>
      <c r="O61" s="13">
        <f>0.122*POWER(C61,2)</f>
        <v>195.2</v>
      </c>
      <c r="P61" s="16"/>
      <c r="Q61" s="17"/>
    </row>
    <row r="62" spans="1:17" x14ac:dyDescent="0.2">
      <c r="A62" s="15" t="s">
        <v>73</v>
      </c>
      <c r="B62" s="11" t="s">
        <v>151</v>
      </c>
      <c r="C62" s="12">
        <v>40</v>
      </c>
      <c r="D62" s="12">
        <v>10</v>
      </c>
      <c r="E62" s="12"/>
      <c r="F62" s="13">
        <f>-3.824+0.01709*POWER(C62,2)*D62</f>
        <v>269.61599999999999</v>
      </c>
      <c r="G62" s="13">
        <f>0.00165*POWER(C62,2.392)*POWER(D62,0.761)</f>
        <v>64.656388622730887</v>
      </c>
      <c r="H62" s="13">
        <f>0.04649*POWER(C62,2.183)</f>
        <v>146.10211646294536</v>
      </c>
      <c r="I62" s="13"/>
      <c r="J62" s="13">
        <f>0.01246*POWER(C62,2.44)</f>
        <v>101.05188546563815</v>
      </c>
      <c r="K62" s="13">
        <f>0.01908*POWER(C62,2)</f>
        <v>30.527999999999999</v>
      </c>
      <c r="L62" s="13">
        <f>0.001016*POWER(C62,2)*D62</f>
        <v>16.256</v>
      </c>
      <c r="M62" s="13"/>
      <c r="N62" s="13">
        <f t="shared" si="2"/>
        <v>628.21039055131439</v>
      </c>
      <c r="O62" s="13">
        <f>1.042*POWER(C62,1.254)</f>
        <v>106.3777861994793</v>
      </c>
      <c r="P62" s="16"/>
      <c r="Q62" s="17"/>
    </row>
    <row r="63" spans="1:17" x14ac:dyDescent="0.2">
      <c r="A63" s="15" t="s">
        <v>74</v>
      </c>
      <c r="B63" s="11" t="s">
        <v>152</v>
      </c>
      <c r="C63" s="12">
        <v>40</v>
      </c>
      <c r="D63" s="12">
        <v>10</v>
      </c>
      <c r="E63" s="12"/>
      <c r="F63" s="13">
        <f>0.0191*POWER(C63,2)*D63</f>
        <v>305.59999999999997</v>
      </c>
      <c r="G63" s="13"/>
      <c r="H63" s="13">
        <f>0.0512*POWER(C63,2)</f>
        <v>81.92</v>
      </c>
      <c r="I63" s="13"/>
      <c r="J63" s="13">
        <f>0.0567*C63*D63</f>
        <v>22.68</v>
      </c>
      <c r="K63" s="13"/>
      <c r="L63" s="13"/>
      <c r="M63" s="13"/>
      <c r="N63" s="13">
        <f t="shared" si="2"/>
        <v>410.2</v>
      </c>
      <c r="O63" s="13">
        <f>0.214*POWER(C63,2)</f>
        <v>342.4</v>
      </c>
      <c r="P63" s="16"/>
      <c r="Q63" s="17"/>
    </row>
    <row r="64" spans="1:17" x14ac:dyDescent="0.2">
      <c r="A64" s="15" t="s">
        <v>75</v>
      </c>
      <c r="B64" s="11" t="s">
        <v>153</v>
      </c>
      <c r="C64" s="12">
        <v>40</v>
      </c>
      <c r="D64" s="12">
        <v>10</v>
      </c>
      <c r="E64" s="12"/>
      <c r="F64" s="13">
        <f>0.0191*POWER(C64,2)*D64</f>
        <v>305.59999999999997</v>
      </c>
      <c r="G64" s="13"/>
      <c r="H64" s="13">
        <f>0.0512*POWER(C64,2)</f>
        <v>81.92</v>
      </c>
      <c r="I64" s="13"/>
      <c r="J64" s="13">
        <f>0.0567*C64*D64</f>
        <v>22.68</v>
      </c>
      <c r="K64" s="13"/>
      <c r="L64" s="13"/>
      <c r="M64" s="13"/>
      <c r="N64" s="13">
        <f t="shared" si="2"/>
        <v>410.2</v>
      </c>
      <c r="O64" s="13">
        <f>0.214*POWER(C64,2)</f>
        <v>342.4</v>
      </c>
      <c r="P64" s="16"/>
      <c r="Q64" s="17"/>
    </row>
    <row r="65" spans="1:17" x14ac:dyDescent="0.2">
      <c r="A65" s="15" t="s">
        <v>76</v>
      </c>
      <c r="B65" s="11" t="s">
        <v>154</v>
      </c>
      <c r="C65" s="12">
        <v>40</v>
      </c>
      <c r="D65" s="12">
        <v>10</v>
      </c>
      <c r="E65" s="12">
        <f>IF(C65&gt;12.5,1,0)</f>
        <v>1</v>
      </c>
      <c r="F65" s="13">
        <f>0.0296*POWER(C65,2)*D65</f>
        <v>473.6</v>
      </c>
      <c r="G65" s="13"/>
      <c r="H65" s="13">
        <f>0.231*POWER((C65-12.5),2)*E65</f>
        <v>174.69374999999999</v>
      </c>
      <c r="I65" s="13">
        <f>0.0925*POWER(C65,2)</f>
        <v>148</v>
      </c>
      <c r="J65" s="13">
        <f>2.005*C65</f>
        <v>80.199999999999989</v>
      </c>
      <c r="K65" s="13"/>
      <c r="L65" s="13"/>
      <c r="M65" s="13"/>
      <c r="N65" s="13">
        <f t="shared" si="2"/>
        <v>876.49375000000009</v>
      </c>
      <c r="O65" s="13">
        <f>0.359*POWER(C65,2)</f>
        <v>574.4</v>
      </c>
      <c r="P65" s="16"/>
      <c r="Q65" s="17"/>
    </row>
    <row r="66" spans="1:17" x14ac:dyDescent="0.2">
      <c r="A66" s="15" t="s">
        <v>77</v>
      </c>
      <c r="B66" s="11" t="s">
        <v>155</v>
      </c>
      <c r="C66" s="12">
        <v>40</v>
      </c>
      <c r="D66" s="12">
        <v>10</v>
      </c>
      <c r="E66" s="12">
        <f>IF(C66&gt;12.5,1,0)</f>
        <v>1</v>
      </c>
      <c r="F66" s="13">
        <f>0.0296*POWER(C66,2)*D66</f>
        <v>473.6</v>
      </c>
      <c r="G66" s="13"/>
      <c r="H66" s="13">
        <f>0.231*POWER((C66-12.5),2)*E66</f>
        <v>174.69374999999999</v>
      </c>
      <c r="I66" s="13">
        <f>0.0925*POWER(C66,2)</f>
        <v>148</v>
      </c>
      <c r="J66" s="13">
        <f>2.005*C66</f>
        <v>80.199999999999989</v>
      </c>
      <c r="K66" s="13"/>
      <c r="L66" s="13"/>
      <c r="M66" s="13"/>
      <c r="N66" s="13">
        <f t="shared" si="2"/>
        <v>876.49375000000009</v>
      </c>
      <c r="O66" s="13">
        <f>0.359*POWER(C66,2)</f>
        <v>574.4</v>
      </c>
    </row>
    <row r="67" spans="1:17" x14ac:dyDescent="0.2">
      <c r="A67" s="15" t="s">
        <v>78</v>
      </c>
      <c r="B67" s="11" t="s">
        <v>156</v>
      </c>
      <c r="C67" s="12">
        <v>40</v>
      </c>
      <c r="D67" s="12">
        <v>10</v>
      </c>
      <c r="E67" s="12"/>
      <c r="F67" s="13">
        <f>-3.824+0.01709*POWER(C67,2)*D67</f>
        <v>269.61599999999999</v>
      </c>
      <c r="G67" s="13">
        <f>0.00165*POWER(C67,2.392)*POWER(D67,0.761)</f>
        <v>64.656388622730887</v>
      </c>
      <c r="H67" s="13">
        <f>0.04649*POWER(C67,2.183)</f>
        <v>146.10211646294536</v>
      </c>
      <c r="I67" s="13"/>
      <c r="J67" s="13">
        <f>0.01246*POWER(C67,2.44)</f>
        <v>101.05188546563815</v>
      </c>
      <c r="K67" s="13">
        <f>0.01908*POWER(C67,2)</f>
        <v>30.527999999999999</v>
      </c>
      <c r="L67" s="13">
        <f>0.001016*POWER(C67,2)*D67</f>
        <v>16.256</v>
      </c>
      <c r="M67" s="13"/>
      <c r="N67" s="13">
        <f t="shared" si="2"/>
        <v>628.21039055131439</v>
      </c>
      <c r="O67" s="13">
        <f>1.042*POWER(C67,1.254)</f>
        <v>106.3777861994793</v>
      </c>
    </row>
    <row r="68" spans="1:17" x14ac:dyDescent="0.2">
      <c r="A68" s="15" t="s">
        <v>79</v>
      </c>
      <c r="B68" s="11" t="s">
        <v>157</v>
      </c>
      <c r="C68" s="12">
        <v>40</v>
      </c>
      <c r="D68" s="12">
        <v>10</v>
      </c>
      <c r="E68" s="12">
        <f>IF(C68&gt;22.5,1,0)</f>
        <v>1</v>
      </c>
      <c r="F68" s="13">
        <f>0.0676*POWER(C68,2)+0.0182*POWER(C68,2)*D68</f>
        <v>399.36</v>
      </c>
      <c r="G68" s="13"/>
      <c r="H68" s="13">
        <f>(0.83*POWER((C68-22.5),2)-0.0248*POWER((C68-22.5),2)*D68)*E68</f>
        <v>178.23750000000001</v>
      </c>
      <c r="I68" s="13">
        <f>0.0792*POWER(C68,2)</f>
        <v>126.72000000000001</v>
      </c>
      <c r="J68" s="13">
        <f>0.093*POWER(C68,2)-0.00226*POWER(C68,2)*D68</f>
        <v>112.64000000000001</v>
      </c>
      <c r="K68" s="13"/>
      <c r="L68" s="13"/>
      <c r="M68" s="13"/>
      <c r="N68" s="13">
        <f t="shared" si="2"/>
        <v>816.9575000000001</v>
      </c>
      <c r="O68" s="13">
        <f>0.106*POWER(C68,2)</f>
        <v>169.6</v>
      </c>
    </row>
    <row r="69" spans="1:17" x14ac:dyDescent="0.2">
      <c r="A69" s="15" t="s">
        <v>80</v>
      </c>
      <c r="B69" s="11" t="s">
        <v>158</v>
      </c>
      <c r="C69" s="12">
        <v>40</v>
      </c>
      <c r="D69" s="12">
        <v>10</v>
      </c>
      <c r="E69" s="12"/>
      <c r="F69" s="13">
        <f>0.0191*POWER(C69,2)*D69</f>
        <v>305.59999999999997</v>
      </c>
      <c r="G69" s="13"/>
      <c r="H69" s="13">
        <f>0.0512*POWER(C69,2)</f>
        <v>81.92</v>
      </c>
      <c r="I69" s="13"/>
      <c r="J69" s="13">
        <f>0.0567*C69*D69</f>
        <v>22.68</v>
      </c>
      <c r="K69" s="13"/>
      <c r="L69" s="13"/>
      <c r="M69" s="13"/>
      <c r="N69" s="13">
        <f t="shared" si="2"/>
        <v>410.2</v>
      </c>
      <c r="O69" s="13">
        <f>0.214*POWER(C69,2)</f>
        <v>342.4</v>
      </c>
    </row>
    <row r="70" spans="1:17" x14ac:dyDescent="0.2">
      <c r="A70" s="15" t="s">
        <v>81</v>
      </c>
      <c r="B70" s="11" t="s">
        <v>159</v>
      </c>
      <c r="C70" s="12">
        <v>40</v>
      </c>
      <c r="D70" s="12">
        <v>10</v>
      </c>
      <c r="E70" s="12">
        <f>IF(C70&gt;12.5,1,0)</f>
        <v>1</v>
      </c>
      <c r="F70" s="13">
        <f>0.0296*POWER(C70,2)*D70</f>
        <v>473.6</v>
      </c>
      <c r="G70" s="13"/>
      <c r="H70" s="13">
        <f>0.231*POWER((C70-12.5),2)*E70</f>
        <v>174.69374999999999</v>
      </c>
      <c r="I70" s="13">
        <f>0.0925*POWER(C70,2)</f>
        <v>148</v>
      </c>
      <c r="J70" s="13">
        <f>2.005*C70</f>
        <v>80.199999999999989</v>
      </c>
      <c r="K70" s="13"/>
      <c r="L70" s="13"/>
      <c r="M70" s="13"/>
      <c r="N70" s="13">
        <f t="shared" si="2"/>
        <v>876.49375000000009</v>
      </c>
      <c r="O70" s="13">
        <f>0.359*POWER(C70,2)</f>
        <v>574.4</v>
      </c>
    </row>
    <row r="71" spans="1:17" x14ac:dyDescent="0.2">
      <c r="A71" s="15" t="s">
        <v>82</v>
      </c>
      <c r="B71" s="11" t="s">
        <v>160</v>
      </c>
      <c r="C71" s="12">
        <v>40</v>
      </c>
      <c r="D71" s="12">
        <v>10</v>
      </c>
      <c r="E71" s="12">
        <f>IF(C71&gt;22.5,1,0)</f>
        <v>1</v>
      </c>
      <c r="F71" s="13">
        <f>0.0132*POWER(C71,2)*D71+0.217*C71*D71</f>
        <v>298</v>
      </c>
      <c r="G71" s="13"/>
      <c r="H71" s="13">
        <f>0.107*POWER((C71-22.5),2)*E71</f>
        <v>32.768749999999997</v>
      </c>
      <c r="I71" s="13">
        <f>0.00792*POWER(C71,2)*D71</f>
        <v>126.72</v>
      </c>
      <c r="J71" s="13">
        <f>0.273*C71*D71</f>
        <v>109.20000000000002</v>
      </c>
      <c r="K71" s="13"/>
      <c r="L71" s="13"/>
      <c r="M71" s="13"/>
      <c r="N71" s="13">
        <f t="shared" si="2"/>
        <v>566.68875000000003</v>
      </c>
      <c r="O71" s="13">
        <f>0.0767*POWER(C71,2)</f>
        <v>122.72000000000001</v>
      </c>
    </row>
    <row r="72" spans="1:17" x14ac:dyDescent="0.2">
      <c r="A72" s="15" t="s">
        <v>83</v>
      </c>
      <c r="B72" s="11" t="s">
        <v>161</v>
      </c>
      <c r="C72" s="12">
        <v>40</v>
      </c>
      <c r="D72" s="12">
        <v>10</v>
      </c>
      <c r="E72" s="12">
        <f>IF(C72&gt;12.5,1,0)</f>
        <v>1</v>
      </c>
      <c r="F72" s="13">
        <f>0.0296*POWER(C72,2)*D72</f>
        <v>473.6</v>
      </c>
      <c r="G72" s="13"/>
      <c r="H72" s="13">
        <f>0.231*POWER((C72-12.5),2)*E72</f>
        <v>174.69374999999999</v>
      </c>
      <c r="I72" s="13">
        <f>0.0925*POWER(C72,2)</f>
        <v>148</v>
      </c>
      <c r="J72" s="13">
        <f>2.005*C72</f>
        <v>80.199999999999989</v>
      </c>
      <c r="K72" s="13"/>
      <c r="L72" s="13"/>
      <c r="M72" s="13"/>
      <c r="N72" s="13">
        <f t="shared" si="2"/>
        <v>876.49375000000009</v>
      </c>
      <c r="O72" s="13">
        <f>0.359*POWER(C72,2)</f>
        <v>574.4</v>
      </c>
    </row>
    <row r="73" spans="1:17" x14ac:dyDescent="0.2">
      <c r="A73" s="15" t="s">
        <v>84</v>
      </c>
      <c r="B73" s="11" t="s">
        <v>162</v>
      </c>
      <c r="C73" s="12">
        <v>40</v>
      </c>
      <c r="D73" s="12">
        <v>10</v>
      </c>
      <c r="E73" s="12"/>
      <c r="F73" s="13">
        <f>0.0114*POWER(C73,2)*D73</f>
        <v>182.40000000000003</v>
      </c>
      <c r="G73" s="13"/>
      <c r="H73" s="13">
        <f>0.0108*POWER(C73,2)*D73</f>
        <v>172.8</v>
      </c>
      <c r="I73" s="13">
        <f>1.672*C73</f>
        <v>66.88</v>
      </c>
      <c r="J73" s="13">
        <f>0.0354*POWER(C73,2)+1.187*D73</f>
        <v>68.510000000000005</v>
      </c>
      <c r="K73" s="13"/>
      <c r="L73" s="13"/>
      <c r="M73" s="13"/>
      <c r="N73" s="13">
        <f t="shared" si="2"/>
        <v>490.59000000000003</v>
      </c>
      <c r="O73" s="13">
        <f>0.147*POWER(C73,2)</f>
        <v>235.2</v>
      </c>
    </row>
    <row r="74" spans="1:17" x14ac:dyDescent="0.2">
      <c r="A74" s="15" t="s">
        <v>85</v>
      </c>
      <c r="B74" s="11" t="s">
        <v>163</v>
      </c>
      <c r="C74" s="12">
        <v>40</v>
      </c>
      <c r="D74" s="12">
        <v>10</v>
      </c>
      <c r="E74" s="12"/>
      <c r="F74" s="13">
        <f>0.0191*POWER(C74,2)*D74</f>
        <v>305.59999999999997</v>
      </c>
      <c r="G74" s="13"/>
      <c r="H74" s="13">
        <f>0.0512*POWER(C74,2)</f>
        <v>81.92</v>
      </c>
      <c r="I74" s="13"/>
      <c r="J74" s="13">
        <f>0.0567*C74*D74</f>
        <v>22.68</v>
      </c>
      <c r="K74" s="13"/>
      <c r="L74" s="13"/>
      <c r="M74" s="13"/>
      <c r="N74" s="13">
        <f t="shared" si="2"/>
        <v>410.2</v>
      </c>
      <c r="O74" s="13">
        <f>0.214*POWER(C74,2)</f>
        <v>342.4</v>
      </c>
    </row>
    <row r="75" spans="1:17" x14ac:dyDescent="0.2">
      <c r="A75" s="15" t="s">
        <v>86</v>
      </c>
      <c r="B75" s="11" t="s">
        <v>164</v>
      </c>
      <c r="C75" s="12">
        <v>40</v>
      </c>
      <c r="D75" s="12">
        <v>10</v>
      </c>
      <c r="E75" s="12">
        <f>IF(C75&gt;12.5,1,0)</f>
        <v>1</v>
      </c>
      <c r="F75" s="13">
        <f>0.0296*POWER(C75,2)*D75</f>
        <v>473.6</v>
      </c>
      <c r="G75" s="13"/>
      <c r="H75" s="13">
        <f>0.231*POWER((C75-12.5),2)*E75</f>
        <v>174.69374999999999</v>
      </c>
      <c r="I75" s="13">
        <f>0.0925*POWER(C75,2)</f>
        <v>148</v>
      </c>
      <c r="J75" s="13">
        <f>2.005*C75</f>
        <v>80.199999999999989</v>
      </c>
      <c r="K75" s="13"/>
      <c r="L75" s="13"/>
      <c r="M75" s="13"/>
      <c r="N75" s="13">
        <f t="shared" si="2"/>
        <v>876.49375000000009</v>
      </c>
      <c r="O75" s="13">
        <f>0.359*POWER(C75,2)</f>
        <v>574.4</v>
      </c>
    </row>
    <row r="76" spans="1:17" x14ac:dyDescent="0.2">
      <c r="A76" s="15" t="s">
        <v>87</v>
      </c>
      <c r="B76" s="11" t="s">
        <v>165</v>
      </c>
      <c r="C76" s="12">
        <v>40</v>
      </c>
      <c r="D76" s="12">
        <v>10</v>
      </c>
      <c r="E76" s="12"/>
      <c r="F76" s="13">
        <f>0.0191*POWER(C76,2)*D76</f>
        <v>305.59999999999997</v>
      </c>
      <c r="G76" s="13"/>
      <c r="H76" s="13">
        <f>0.0512*POWER(C76,2)</f>
        <v>81.92</v>
      </c>
      <c r="I76" s="13"/>
      <c r="J76" s="13">
        <f>0.0567*C76*D76</f>
        <v>22.68</v>
      </c>
      <c r="K76" s="13"/>
      <c r="L76" s="13"/>
      <c r="M76" s="13"/>
      <c r="N76" s="13">
        <f t="shared" si="2"/>
        <v>410.2</v>
      </c>
      <c r="O76" s="13">
        <f>0.214*POWER(C76,2)</f>
        <v>342.4</v>
      </c>
    </row>
    <row r="77" spans="1:17" x14ac:dyDescent="0.2">
      <c r="A77" s="15" t="s">
        <v>88</v>
      </c>
      <c r="B77" s="11" t="s">
        <v>166</v>
      </c>
      <c r="C77" s="12">
        <v>40</v>
      </c>
      <c r="D77" s="12">
        <v>10</v>
      </c>
      <c r="E77" s="12"/>
      <c r="F77" s="13">
        <f>0.0191*POWER(C77,2)*D77</f>
        <v>305.59999999999997</v>
      </c>
      <c r="G77" s="13"/>
      <c r="H77" s="13">
        <f>0.0512*POWER(C77,2)</f>
        <v>81.92</v>
      </c>
      <c r="I77" s="13"/>
      <c r="J77" s="13">
        <f>0.0567*C77*D77</f>
        <v>22.68</v>
      </c>
      <c r="K77" s="13"/>
      <c r="L77" s="13"/>
      <c r="M77" s="13"/>
      <c r="N77" s="13">
        <f t="shared" si="2"/>
        <v>410.2</v>
      </c>
      <c r="O77" s="13">
        <f>0.214*POWER(C77,2)</f>
        <v>342.4</v>
      </c>
    </row>
    <row r="78" spans="1:17" x14ac:dyDescent="0.2">
      <c r="A78" s="10">
        <v>626</v>
      </c>
      <c r="B78" s="11" t="s">
        <v>167</v>
      </c>
      <c r="C78" s="12">
        <v>40</v>
      </c>
      <c r="D78" s="12">
        <v>10</v>
      </c>
      <c r="E78" s="12"/>
      <c r="F78" s="13">
        <f>0.0278*POWER(C78,2.115)*POWER(D78,0.618)</f>
        <v>282.09908504618613</v>
      </c>
      <c r="G78" s="13"/>
      <c r="H78" s="13">
        <f>0.000381*POWER(C78,3.141)</f>
        <v>41.019976614097203</v>
      </c>
      <c r="I78" s="13"/>
      <c r="J78" s="13">
        <f>0.0129*POWER(C78,2.32)</f>
        <v>67.19994075655427</v>
      </c>
      <c r="K78" s="13"/>
      <c r="L78" s="13"/>
      <c r="M78" s="13"/>
      <c r="N78" s="13">
        <f>F78+G78+H78+I78+J78+K78+L78</f>
        <v>390.31900241683763</v>
      </c>
      <c r="O78" s="13">
        <f>0.00444*POWER(C78,2.804)</f>
        <v>137.8983868549893</v>
      </c>
      <c r="P78" s="13">
        <f>N78/2</f>
        <v>195.15950120841882</v>
      </c>
      <c r="Q78" s="13">
        <f>O78/2</f>
        <v>68.949193427494649</v>
      </c>
    </row>
    <row r="79" spans="1:17" x14ac:dyDescent="0.2">
      <c r="A79" s="15" t="s">
        <v>89</v>
      </c>
      <c r="B79" s="11" t="s">
        <v>168</v>
      </c>
      <c r="C79" s="12">
        <v>40</v>
      </c>
      <c r="D79" s="12">
        <v>10</v>
      </c>
      <c r="E79" s="12">
        <f>IF(C79&gt;12.5,1,0)</f>
        <v>1</v>
      </c>
      <c r="F79" s="13">
        <f>0.0296*POWER(C79,2)*D79</f>
        <v>473.6</v>
      </c>
      <c r="G79" s="13"/>
      <c r="H79" s="13">
        <f>0.231*POWER((C79-12.5),2)*E79</f>
        <v>174.69374999999999</v>
      </c>
      <c r="I79" s="13">
        <f>0.0925*POWER(C79,2)</f>
        <v>148</v>
      </c>
      <c r="J79" s="13">
        <f>2.005*C79</f>
        <v>80.199999999999989</v>
      </c>
      <c r="K79" s="13"/>
      <c r="L79" s="13"/>
      <c r="M79" s="13"/>
      <c r="N79" s="13">
        <f t="shared" ref="N79:N83" si="3">F79+G79+H79+I79+J79+K79+L79</f>
        <v>876.49375000000009</v>
      </c>
      <c r="O79" s="13">
        <f>0.359*POWER(C79,2)</f>
        <v>574.4</v>
      </c>
    </row>
    <row r="80" spans="1:17" x14ac:dyDescent="0.2">
      <c r="A80" s="15" t="s">
        <v>90</v>
      </c>
      <c r="B80" s="11" t="s">
        <v>169</v>
      </c>
      <c r="C80" s="12">
        <v>40</v>
      </c>
      <c r="D80" s="12">
        <v>10</v>
      </c>
      <c r="E80" s="12"/>
      <c r="F80" s="13">
        <f>0.0191*POWER(C80,2)*D80</f>
        <v>305.59999999999997</v>
      </c>
      <c r="G80" s="13"/>
      <c r="H80" s="13">
        <f>0.0512*POWER(C80,2)</f>
        <v>81.92</v>
      </c>
      <c r="I80" s="13"/>
      <c r="J80" s="13">
        <f>0.0567*C80*D80</f>
        <v>22.68</v>
      </c>
      <c r="K80" s="13"/>
      <c r="L80" s="13"/>
      <c r="M80" s="13"/>
      <c r="N80" s="13">
        <f t="shared" si="3"/>
        <v>410.2</v>
      </c>
      <c r="O80" s="13">
        <f>0.214*POWER(C80,2)</f>
        <v>342.4</v>
      </c>
    </row>
    <row r="81" spans="1:17" x14ac:dyDescent="0.2">
      <c r="A81" s="10">
        <v>726</v>
      </c>
      <c r="B81" s="11" t="s">
        <v>170</v>
      </c>
      <c r="C81" s="12">
        <v>40</v>
      </c>
      <c r="D81" s="12">
        <v>10</v>
      </c>
      <c r="E81" s="12"/>
      <c r="F81" s="13">
        <f>0.0278*POWER(C81,2.115)*POWER(D81,0.618)</f>
        <v>282.09908504618613</v>
      </c>
      <c r="G81" s="13"/>
      <c r="H81" s="13">
        <f>0.000381*POWER(C81,3.141)</f>
        <v>41.019976614097203</v>
      </c>
      <c r="I81" s="13"/>
      <c r="J81" s="13">
        <f>0.0129*POWER(C81,2.32)</f>
        <v>67.19994075655427</v>
      </c>
      <c r="K81" s="13"/>
      <c r="L81" s="13"/>
      <c r="M81" s="13"/>
      <c r="N81" s="13">
        <f>F81+G81+H81+I81+J81+K81+L81</f>
        <v>390.31900241683763</v>
      </c>
      <c r="O81" s="13">
        <f>0.00444*POWER(C81,2.804)</f>
        <v>137.8983868549893</v>
      </c>
      <c r="P81" s="13">
        <f>N81/2</f>
        <v>195.15950120841882</v>
      </c>
      <c r="Q81" s="13">
        <f>O81/2</f>
        <v>68.949193427494649</v>
      </c>
    </row>
    <row r="82" spans="1:17" x14ac:dyDescent="0.2">
      <c r="A82" s="15" t="s">
        <v>91</v>
      </c>
      <c r="B82" s="11" t="s">
        <v>171</v>
      </c>
      <c r="C82" s="12">
        <v>40</v>
      </c>
      <c r="D82" s="12">
        <v>10</v>
      </c>
      <c r="E82" s="12">
        <f>IF(C82&gt;12.5,1,0)</f>
        <v>1</v>
      </c>
      <c r="F82" s="13">
        <f>0.0296*POWER(C82,2)*D82</f>
        <v>473.6</v>
      </c>
      <c r="G82" s="13"/>
      <c r="H82" s="13">
        <f>0.231*POWER((C82-12.5),2)*E82</f>
        <v>174.69374999999999</v>
      </c>
      <c r="I82" s="13">
        <f>0.0925*POWER(C82,2)</f>
        <v>148</v>
      </c>
      <c r="J82" s="13">
        <f>2.005*C82</f>
        <v>80.199999999999989</v>
      </c>
      <c r="K82" s="13"/>
      <c r="L82" s="13"/>
      <c r="M82" s="13"/>
      <c r="N82" s="13">
        <f t="shared" si="3"/>
        <v>876.49375000000009</v>
      </c>
      <c r="O82" s="13">
        <f>0.359*POWER(C82,2)</f>
        <v>574.4</v>
      </c>
    </row>
    <row r="83" spans="1:17" x14ac:dyDescent="0.2">
      <c r="A83" s="15" t="s">
        <v>92</v>
      </c>
      <c r="B83" s="11" t="s">
        <v>172</v>
      </c>
      <c r="C83" s="12">
        <v>40</v>
      </c>
      <c r="D83" s="12">
        <v>10</v>
      </c>
      <c r="E83" s="12"/>
      <c r="F83" s="13">
        <f>0.0191*POWER(C83,2)*D83</f>
        <v>305.59999999999997</v>
      </c>
      <c r="G83" s="13"/>
      <c r="H83" s="13">
        <f>0.0512*POWER(C83,2)</f>
        <v>81.92</v>
      </c>
      <c r="I83" s="13"/>
      <c r="J83" s="13">
        <f>0.0567*C83*D83</f>
        <v>22.68</v>
      </c>
      <c r="K83" s="13"/>
      <c r="L83" s="13"/>
      <c r="M83" s="13"/>
      <c r="N83" s="13">
        <f t="shared" si="3"/>
        <v>410.2</v>
      </c>
      <c r="O83" s="13">
        <f>0.214*POWER(C83,2)</f>
        <v>342.4</v>
      </c>
    </row>
    <row r="84" spans="1:17" x14ac:dyDescent="0.2">
      <c r="A84" s="10">
        <v>826</v>
      </c>
      <c r="B84" s="11" t="s">
        <v>173</v>
      </c>
      <c r="C84" s="12">
        <v>40</v>
      </c>
      <c r="D84" s="12">
        <v>10</v>
      </c>
      <c r="E84" s="12"/>
      <c r="F84" s="13">
        <f t="shared" ref="F84" si="4">0.0278*POWER(C84,2.115)*POWER(D84,0.618)</f>
        <v>282.09908504618613</v>
      </c>
      <c r="G84" s="13"/>
      <c r="H84" s="13">
        <f t="shared" ref="H84" si="5">0.000381*POWER(C84,3.141)</f>
        <v>41.019976614097203</v>
      </c>
      <c r="I84" s="13"/>
      <c r="J84" s="13">
        <f t="shared" ref="J84" si="6">0.0129*POWER(C84,2.32)</f>
        <v>67.19994075655427</v>
      </c>
      <c r="K84" s="13"/>
      <c r="L84" s="13"/>
      <c r="M84" s="13"/>
      <c r="N84" s="13">
        <f>F84+G84+H84+I84+J84+K84+L84</f>
        <v>390.31900241683763</v>
      </c>
      <c r="O84" s="13">
        <f t="shared" ref="O84" si="7">0.00444*POWER(C84,2.804)</f>
        <v>137.8983868549893</v>
      </c>
      <c r="P84" s="13">
        <f t="shared" ref="P84:Q84" si="8">N84/2</f>
        <v>195.15950120841882</v>
      </c>
      <c r="Q84" s="13">
        <f t="shared" si="8"/>
        <v>68.949193427494649</v>
      </c>
    </row>
    <row r="85" spans="1:17" x14ac:dyDescent="0.2">
      <c r="A85" s="15" t="s">
        <v>93</v>
      </c>
      <c r="B85" s="11" t="s">
        <v>174</v>
      </c>
      <c r="C85" s="12">
        <v>40</v>
      </c>
      <c r="D85" s="12">
        <v>10</v>
      </c>
      <c r="E85" s="12">
        <f>IF(C85&gt;12.5,1,0)</f>
        <v>1</v>
      </c>
      <c r="F85" s="13">
        <f>0.143*POWER(C85,2)</f>
        <v>228.79999999999998</v>
      </c>
      <c r="G85" s="13"/>
      <c r="H85" s="13">
        <f>(0.0684*POWER((C85-12.5),2)*D85)*E85</f>
        <v>517.27499999999998</v>
      </c>
      <c r="I85" s="13">
        <f>0.0898*POWER(C85,2)</f>
        <v>143.68</v>
      </c>
      <c r="J85" s="13">
        <f>0.0823*POWER(C85,2)</f>
        <v>131.68</v>
      </c>
      <c r="K85" s="13"/>
      <c r="L85" s="13"/>
      <c r="M85" s="13"/>
      <c r="N85" s="13">
        <f t="shared" ref="N85:N86" si="9">F85+G85+H85+I85+J85+K85+L85</f>
        <v>1021.4349999999999</v>
      </c>
      <c r="O85" s="13">
        <f>0.254*POWER(C85,2)</f>
        <v>406.4</v>
      </c>
    </row>
    <row r="86" spans="1:17" x14ac:dyDescent="0.2">
      <c r="A86" s="15" t="s">
        <v>94</v>
      </c>
      <c r="B86" s="11" t="s">
        <v>175</v>
      </c>
      <c r="C86" s="12">
        <v>40</v>
      </c>
      <c r="D86" s="12">
        <v>10</v>
      </c>
      <c r="E86" s="12">
        <f>IF(C86&gt;12.5,1,0)</f>
        <v>1</v>
      </c>
      <c r="F86" s="13">
        <f>0.0296*POWER(C86,2)*D86</f>
        <v>473.6</v>
      </c>
      <c r="G86" s="13"/>
      <c r="H86" s="13">
        <f>0.231*POWER((C86-12.5),2)*E86</f>
        <v>174.69374999999999</v>
      </c>
      <c r="I86" s="13">
        <f>0.0925*POWER(C86,2)</f>
        <v>148</v>
      </c>
      <c r="J86" s="13">
        <f>2.005*C86</f>
        <v>80.199999999999989</v>
      </c>
      <c r="K86" s="13"/>
      <c r="L86" s="13"/>
      <c r="M86" s="13"/>
      <c r="N86" s="13">
        <f t="shared" si="9"/>
        <v>876.49375000000009</v>
      </c>
      <c r="O86" s="13">
        <f>0.359*POWER(C86,2)</f>
        <v>574.4</v>
      </c>
    </row>
  </sheetData>
  <pageMargins left="0.75" right="0.75" top="1" bottom="1" header="0" footer="0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09-409</vt:lpstr>
    </vt:vector>
  </TitlesOfParts>
  <Company>TRAGSA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TRAGSA</dc:creator>
  <cp:lastModifiedBy>Sierra Panizo, Fernando</cp:lastModifiedBy>
  <dcterms:created xsi:type="dcterms:W3CDTF">2020-02-03T11:12:57Z</dcterms:created>
  <dcterms:modified xsi:type="dcterms:W3CDTF">2021-10-20T11:56:42Z</dcterms:modified>
</cp:coreProperties>
</file>